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6375" yWindow="255" windowWidth="23775" windowHeight="11595"/>
  </bookViews>
  <sheets>
    <sheet name="Cumulative" sheetId="1" r:id="rId1"/>
    <sheet name="SSW" sheetId="2" r:id="rId2"/>
    <sheet name="OTPT" sheetId="3" r:id="rId3"/>
    <sheet name="psych" sheetId="4" r:id="rId4"/>
    <sheet name="slp" sheetId="5" r:id="rId5"/>
    <sheet name="prof dev" sheetId="6" r:id="rId6"/>
    <sheet name="exec" sheetId="7" r:id="rId7"/>
    <sheet name="O &amp; M" sheetId="8" r:id="rId8"/>
    <sheet name="TAS" sheetId="9" r:id="rId9"/>
    <sheet name="admin asst" sheetId="10" r:id="rId10"/>
    <sheet name="Other" sheetId="11" r:id="rId11"/>
  </sheets>
  <calcPr calcId="125725"/>
</workbook>
</file>

<file path=xl/calcChain.xml><?xml version="1.0" encoding="utf-8"?>
<calcChain xmlns="http://schemas.openxmlformats.org/spreadsheetml/2006/main">
  <c r="H10" i="10"/>
  <c r="J10" s="1"/>
  <c r="F10"/>
  <c r="F9"/>
  <c r="G10"/>
  <c r="C19" i="3" l="1"/>
  <c r="C14"/>
  <c r="C18"/>
  <c r="C2"/>
  <c r="H10"/>
  <c r="G10"/>
  <c r="F10"/>
  <c r="H9"/>
  <c r="G9"/>
  <c r="F9"/>
  <c r="C10"/>
  <c r="C9"/>
  <c r="E2" i="7"/>
  <c r="C11" i="2"/>
  <c r="C10" i="4" l="1"/>
  <c r="C9"/>
  <c r="C8"/>
  <c r="C7"/>
  <c r="C6"/>
  <c r="C5"/>
  <c r="C4"/>
  <c r="C3"/>
  <c r="C2"/>
  <c r="C2" i="2"/>
  <c r="C17"/>
  <c r="C16"/>
  <c r="C15"/>
  <c r="C14"/>
  <c r="C13"/>
  <c r="C10"/>
  <c r="C9"/>
  <c r="C8"/>
  <c r="C7"/>
  <c r="C6"/>
  <c r="C5"/>
  <c r="C4"/>
  <c r="M2" i="3"/>
  <c r="C8" i="5"/>
  <c r="C7"/>
  <c r="C6"/>
  <c r="C5"/>
  <c r="C4"/>
  <c r="C3"/>
  <c r="H12" i="4"/>
  <c r="G12"/>
  <c r="F12"/>
  <c r="H11"/>
  <c r="G11"/>
  <c r="F11"/>
  <c r="C8" i="10"/>
  <c r="C5" i="9"/>
  <c r="C9" i="10"/>
  <c r="C15" i="3"/>
  <c r="H11"/>
  <c r="N9" i="5"/>
  <c r="I12" i="4" l="1"/>
  <c r="E2"/>
  <c r="H9" i="10" l="1"/>
  <c r="L2" i="5"/>
  <c r="N2" l="1"/>
  <c r="L2" i="4"/>
  <c r="L3" i="2"/>
  <c r="C2" i="5" l="1"/>
  <c r="C3" i="9"/>
  <c r="U43"/>
  <c r="C3" i="10" l="1"/>
  <c r="C7" i="9"/>
  <c r="C6"/>
  <c r="C10" i="11" l="1"/>
  <c r="C14" s="1"/>
  <c r="F30" i="1" s="1"/>
  <c r="K30" s="1"/>
  <c r="G30" i="10"/>
  <c r="G29"/>
  <c r="G27" i="1" s="1"/>
  <c r="L23" i="10"/>
  <c r="D23"/>
  <c r="C23"/>
  <c r="I22"/>
  <c r="I23" s="1"/>
  <c r="H22"/>
  <c r="H23" s="1"/>
  <c r="G22"/>
  <c r="G23" s="1"/>
  <c r="F22"/>
  <c r="F23" s="1"/>
  <c r="D22"/>
  <c r="C22"/>
  <c r="B22"/>
  <c r="B23" s="1"/>
  <c r="K21"/>
  <c r="E21"/>
  <c r="J21" s="1"/>
  <c r="K20"/>
  <c r="K22" s="1"/>
  <c r="K23" s="1"/>
  <c r="J20"/>
  <c r="E20"/>
  <c r="E22" s="1"/>
  <c r="E19"/>
  <c r="E18"/>
  <c r="E17"/>
  <c r="E16"/>
  <c r="E15"/>
  <c r="E14"/>
  <c r="J13"/>
  <c r="H13"/>
  <c r="I13" s="1"/>
  <c r="E13"/>
  <c r="D12"/>
  <c r="B12"/>
  <c r="C26" s="1"/>
  <c r="J11"/>
  <c r="H11"/>
  <c r="I11" s="1"/>
  <c r="E11"/>
  <c r="E10"/>
  <c r="E9"/>
  <c r="G8"/>
  <c r="E8"/>
  <c r="F8" s="1"/>
  <c r="H7"/>
  <c r="E7"/>
  <c r="F7" s="1"/>
  <c r="C6"/>
  <c r="E6" s="1"/>
  <c r="C5"/>
  <c r="E5" s="1"/>
  <c r="E4"/>
  <c r="E3"/>
  <c r="H2"/>
  <c r="E2"/>
  <c r="F2" s="1"/>
  <c r="C2"/>
  <c r="Q52" i="9"/>
  <c r="O52"/>
  <c r="R50"/>
  <c r="R49"/>
  <c r="X48"/>
  <c r="W48"/>
  <c r="R48"/>
  <c r="R47"/>
  <c r="R46"/>
  <c r="R45"/>
  <c r="X44"/>
  <c r="W44"/>
  <c r="R44"/>
  <c r="X43"/>
  <c r="W43"/>
  <c r="G28"/>
  <c r="G27"/>
  <c r="K18"/>
  <c r="K19" s="1"/>
  <c r="I18"/>
  <c r="H18"/>
  <c r="G18"/>
  <c r="F18"/>
  <c r="D18"/>
  <c r="C18"/>
  <c r="B18"/>
  <c r="K17"/>
  <c r="J17"/>
  <c r="E17"/>
  <c r="E18" s="1"/>
  <c r="K16"/>
  <c r="J16"/>
  <c r="J18" s="1"/>
  <c r="E16"/>
  <c r="E15"/>
  <c r="D14"/>
  <c r="B14"/>
  <c r="B19" s="1"/>
  <c r="C24" s="1"/>
  <c r="J13"/>
  <c r="H13"/>
  <c r="G13"/>
  <c r="F13"/>
  <c r="I13" s="1"/>
  <c r="E13"/>
  <c r="M12"/>
  <c r="J12"/>
  <c r="I12"/>
  <c r="H12"/>
  <c r="G12"/>
  <c r="F12"/>
  <c r="E12"/>
  <c r="M11"/>
  <c r="J11"/>
  <c r="I11"/>
  <c r="E11"/>
  <c r="J10"/>
  <c r="H10"/>
  <c r="G10"/>
  <c r="F10"/>
  <c r="I10" s="1"/>
  <c r="E10"/>
  <c r="J9"/>
  <c r="H9"/>
  <c r="G9"/>
  <c r="I9" s="1"/>
  <c r="F9"/>
  <c r="E9"/>
  <c r="J8"/>
  <c r="H8"/>
  <c r="G8"/>
  <c r="F8"/>
  <c r="I8" s="1"/>
  <c r="E8"/>
  <c r="J7"/>
  <c r="H7"/>
  <c r="G7"/>
  <c r="F7"/>
  <c r="E7"/>
  <c r="J6"/>
  <c r="H6"/>
  <c r="F6"/>
  <c r="E6"/>
  <c r="F5"/>
  <c r="H4"/>
  <c r="E4"/>
  <c r="G4"/>
  <c r="J3"/>
  <c r="H3"/>
  <c r="G3"/>
  <c r="F3"/>
  <c r="E3"/>
  <c r="J2"/>
  <c r="H2"/>
  <c r="G2"/>
  <c r="F2"/>
  <c r="E2"/>
  <c r="B23" i="8"/>
  <c r="G20" s="1"/>
  <c r="G20" i="1" s="1"/>
  <c r="G21" i="8"/>
  <c r="G18"/>
  <c r="G17"/>
  <c r="B14"/>
  <c r="G19" s="1"/>
  <c r="E3"/>
  <c r="D3"/>
  <c r="C3"/>
  <c r="G30" i="7"/>
  <c r="G29"/>
  <c r="E9"/>
  <c r="D8"/>
  <c r="E8" s="1"/>
  <c r="B8"/>
  <c r="L8" s="1"/>
  <c r="J7"/>
  <c r="I7"/>
  <c r="H7"/>
  <c r="G7"/>
  <c r="F7"/>
  <c r="E7"/>
  <c r="J6"/>
  <c r="H6"/>
  <c r="G6"/>
  <c r="I6" s="1"/>
  <c r="F6"/>
  <c r="E6"/>
  <c r="J5"/>
  <c r="H5"/>
  <c r="G5"/>
  <c r="F5"/>
  <c r="I5" s="1"/>
  <c r="E5"/>
  <c r="J4"/>
  <c r="H4"/>
  <c r="G4"/>
  <c r="I4" s="1"/>
  <c r="F4"/>
  <c r="E4"/>
  <c r="J3"/>
  <c r="I3"/>
  <c r="H3"/>
  <c r="G3"/>
  <c r="F3"/>
  <c r="E3"/>
  <c r="H2"/>
  <c r="H8" s="1"/>
  <c r="G2"/>
  <c r="G8" s="1"/>
  <c r="F2"/>
  <c r="F8" s="1"/>
  <c r="C2"/>
  <c r="C8" s="1"/>
  <c r="B32" i="6"/>
  <c r="B36" s="1"/>
  <c r="C27"/>
  <c r="B34" s="1"/>
  <c r="H13" i="1" s="1"/>
  <c r="C18" i="6"/>
  <c r="B33" s="1"/>
  <c r="G13" i="1" s="1"/>
  <c r="C8" i="6"/>
  <c r="O58" i="5"/>
  <c r="R55" s="1"/>
  <c r="S40"/>
  <c r="G29"/>
  <c r="K22"/>
  <c r="J22"/>
  <c r="I22"/>
  <c r="H22"/>
  <c r="G22"/>
  <c r="F22"/>
  <c r="D22"/>
  <c r="C22"/>
  <c r="C29" s="1"/>
  <c r="B22"/>
  <c r="E21"/>
  <c r="E20"/>
  <c r="E22" s="1"/>
  <c r="E19"/>
  <c r="D18"/>
  <c r="B18"/>
  <c r="C26" s="1"/>
  <c r="J17"/>
  <c r="H17"/>
  <c r="G17"/>
  <c r="F17"/>
  <c r="I17" s="1"/>
  <c r="E17"/>
  <c r="J16"/>
  <c r="H16"/>
  <c r="G16"/>
  <c r="F16"/>
  <c r="I16" s="1"/>
  <c r="E16"/>
  <c r="J15"/>
  <c r="I15"/>
  <c r="H15"/>
  <c r="G15"/>
  <c r="F15"/>
  <c r="E15"/>
  <c r="J14"/>
  <c r="H14"/>
  <c r="G14"/>
  <c r="F14"/>
  <c r="I14" s="1"/>
  <c r="E14"/>
  <c r="J13"/>
  <c r="H13"/>
  <c r="G13"/>
  <c r="F13"/>
  <c r="I13" s="1"/>
  <c r="E13"/>
  <c r="J12"/>
  <c r="I12"/>
  <c r="E12"/>
  <c r="J11"/>
  <c r="H11"/>
  <c r="G11"/>
  <c r="F11"/>
  <c r="I11" s="1"/>
  <c r="E11"/>
  <c r="J10"/>
  <c r="H10"/>
  <c r="G10"/>
  <c r="F10"/>
  <c r="I10" s="1"/>
  <c r="E10"/>
  <c r="J9"/>
  <c r="H9"/>
  <c r="G9"/>
  <c r="F9"/>
  <c r="E9"/>
  <c r="J8"/>
  <c r="F8"/>
  <c r="E8"/>
  <c r="F7"/>
  <c r="H6"/>
  <c r="E6"/>
  <c r="G6"/>
  <c r="H5"/>
  <c r="E5"/>
  <c r="G5"/>
  <c r="F4"/>
  <c r="E4"/>
  <c r="H4"/>
  <c r="J3"/>
  <c r="G3"/>
  <c r="F3"/>
  <c r="E3"/>
  <c r="J2"/>
  <c r="H2"/>
  <c r="G2"/>
  <c r="F2"/>
  <c r="E2"/>
  <c r="G30" i="4"/>
  <c r="J21"/>
  <c r="I21"/>
  <c r="H21"/>
  <c r="G21"/>
  <c r="F21"/>
  <c r="E21"/>
  <c r="D21"/>
  <c r="C21"/>
  <c r="B21"/>
  <c r="B22" s="1"/>
  <c r="C26" s="1"/>
  <c r="K20"/>
  <c r="J20"/>
  <c r="E20"/>
  <c r="K19"/>
  <c r="K21" s="1"/>
  <c r="K22" s="1"/>
  <c r="J19"/>
  <c r="E19"/>
  <c r="E18"/>
  <c r="D17"/>
  <c r="B17"/>
  <c r="J16"/>
  <c r="H16"/>
  <c r="G16"/>
  <c r="F16"/>
  <c r="I16" s="1"/>
  <c r="E16"/>
  <c r="J15"/>
  <c r="H15"/>
  <c r="I15" s="1"/>
  <c r="G15"/>
  <c r="F15"/>
  <c r="E15"/>
  <c r="J14"/>
  <c r="H14"/>
  <c r="G14"/>
  <c r="F14"/>
  <c r="I14" s="1"/>
  <c r="E14"/>
  <c r="J13"/>
  <c r="I13"/>
  <c r="E13"/>
  <c r="J12"/>
  <c r="E12"/>
  <c r="J11"/>
  <c r="I11"/>
  <c r="E11"/>
  <c r="H10"/>
  <c r="G10"/>
  <c r="F10"/>
  <c r="J10"/>
  <c r="J9"/>
  <c r="G9"/>
  <c r="F9"/>
  <c r="E9"/>
  <c r="F8"/>
  <c r="H8"/>
  <c r="H7"/>
  <c r="E7"/>
  <c r="G7"/>
  <c r="F6"/>
  <c r="J5"/>
  <c r="G5"/>
  <c r="F5"/>
  <c r="E5"/>
  <c r="J4"/>
  <c r="H4"/>
  <c r="F4"/>
  <c r="E4"/>
  <c r="G4"/>
  <c r="E3"/>
  <c r="H2"/>
  <c r="G2"/>
  <c r="F2"/>
  <c r="J2"/>
  <c r="L31" i="3"/>
  <c r="G30"/>
  <c r="G29"/>
  <c r="L22"/>
  <c r="K22"/>
  <c r="I22"/>
  <c r="G22"/>
  <c r="F22"/>
  <c r="B22"/>
  <c r="K21"/>
  <c r="I21"/>
  <c r="H21"/>
  <c r="H22" s="1"/>
  <c r="G21"/>
  <c r="F21"/>
  <c r="E21"/>
  <c r="D21"/>
  <c r="D22" s="1"/>
  <c r="C21"/>
  <c r="B21"/>
  <c r="K20"/>
  <c r="J20"/>
  <c r="J21" s="1"/>
  <c r="J22" s="1"/>
  <c r="E20"/>
  <c r="E19"/>
  <c r="E18"/>
  <c r="E17"/>
  <c r="C17"/>
  <c r="E16"/>
  <c r="E15"/>
  <c r="E14"/>
  <c r="J13"/>
  <c r="I13"/>
  <c r="H13"/>
  <c r="E13"/>
  <c r="D12"/>
  <c r="B12"/>
  <c r="C26" s="1"/>
  <c r="J11"/>
  <c r="I11"/>
  <c r="E11"/>
  <c r="E10"/>
  <c r="E9"/>
  <c r="C8"/>
  <c r="E8" s="1"/>
  <c r="H7"/>
  <c r="E7"/>
  <c r="G7" s="1"/>
  <c r="E6"/>
  <c r="F6" s="1"/>
  <c r="C6"/>
  <c r="G5"/>
  <c r="E5"/>
  <c r="F5" s="1"/>
  <c r="C5"/>
  <c r="E4"/>
  <c r="C3"/>
  <c r="E3" s="1"/>
  <c r="C12"/>
  <c r="L31" i="2"/>
  <c r="L31" i="4" s="1"/>
  <c r="L17" s="1"/>
  <c r="L22" s="1"/>
  <c r="H8" i="1"/>
  <c r="G29" i="2"/>
  <c r="D23"/>
  <c r="I22"/>
  <c r="H22"/>
  <c r="G22"/>
  <c r="F22"/>
  <c r="D22"/>
  <c r="C22"/>
  <c r="B22"/>
  <c r="K21"/>
  <c r="E21"/>
  <c r="J21" s="1"/>
  <c r="K20"/>
  <c r="K22" s="1"/>
  <c r="K23" s="1"/>
  <c r="J20"/>
  <c r="E20"/>
  <c r="E19"/>
  <c r="E22" s="1"/>
  <c r="D18"/>
  <c r="B18"/>
  <c r="L18" s="1"/>
  <c r="L23" s="1"/>
  <c r="H17"/>
  <c r="E17"/>
  <c r="G17"/>
  <c r="G16"/>
  <c r="F16"/>
  <c r="J15"/>
  <c r="G15"/>
  <c r="F15"/>
  <c r="E15"/>
  <c r="H15"/>
  <c r="J14"/>
  <c r="H14"/>
  <c r="F14"/>
  <c r="E14"/>
  <c r="G14"/>
  <c r="E13"/>
  <c r="H12"/>
  <c r="F12"/>
  <c r="J12"/>
  <c r="J11"/>
  <c r="G11"/>
  <c r="F11"/>
  <c r="E11"/>
  <c r="H11"/>
  <c r="F10"/>
  <c r="H10"/>
  <c r="H9"/>
  <c r="E9"/>
  <c r="G9"/>
  <c r="G8"/>
  <c r="F8"/>
  <c r="J7"/>
  <c r="G7"/>
  <c r="F7"/>
  <c r="E7"/>
  <c r="H7"/>
  <c r="J6"/>
  <c r="H6"/>
  <c r="G6"/>
  <c r="F6"/>
  <c r="E6"/>
  <c r="H5"/>
  <c r="F5"/>
  <c r="J5"/>
  <c r="J4"/>
  <c r="G4"/>
  <c r="F4"/>
  <c r="E4"/>
  <c r="H4"/>
  <c r="J3"/>
  <c r="H3"/>
  <c r="G3"/>
  <c r="F3"/>
  <c r="E3"/>
  <c r="G2"/>
  <c r="F2"/>
  <c r="I31" i="1"/>
  <c r="K29"/>
  <c r="K28"/>
  <c r="H27"/>
  <c r="K26"/>
  <c r="K25"/>
  <c r="K24"/>
  <c r="K23"/>
  <c r="K22"/>
  <c r="K21"/>
  <c r="H20"/>
  <c r="E20"/>
  <c r="D20"/>
  <c r="K19"/>
  <c r="K18"/>
  <c r="K17"/>
  <c r="H16"/>
  <c r="G16"/>
  <c r="K15"/>
  <c r="K14"/>
  <c r="F13"/>
  <c r="H12"/>
  <c r="G12"/>
  <c r="H11"/>
  <c r="G11"/>
  <c r="H10"/>
  <c r="G10"/>
  <c r="K9"/>
  <c r="G8"/>
  <c r="K13" l="1"/>
  <c r="I15" i="2"/>
  <c r="M15" s="1"/>
  <c r="I6"/>
  <c r="D22" i="4"/>
  <c r="I7" i="2"/>
  <c r="I4"/>
  <c r="M4" s="1"/>
  <c r="I4" i="4"/>
  <c r="N4" s="1"/>
  <c r="M9" i="10"/>
  <c r="G9"/>
  <c r="E22" i="3"/>
  <c r="C29" s="1"/>
  <c r="I12"/>
  <c r="R52" i="5"/>
  <c r="R50"/>
  <c r="R54"/>
  <c r="R48"/>
  <c r="R57"/>
  <c r="R54" i="9"/>
  <c r="I11" i="2"/>
  <c r="M11" s="1"/>
  <c r="H4" i="10"/>
  <c r="F4"/>
  <c r="E23"/>
  <c r="C29" s="1"/>
  <c r="J22"/>
  <c r="J23" s="1"/>
  <c r="C12"/>
  <c r="E12" s="1"/>
  <c r="H8"/>
  <c r="I9" i="5"/>
  <c r="B23" i="2"/>
  <c r="C26" s="1"/>
  <c r="I3"/>
  <c r="H31" i="1"/>
  <c r="D19" i="9"/>
  <c r="I3"/>
  <c r="I7"/>
  <c r="M9"/>
  <c r="C24" i="7"/>
  <c r="G26"/>
  <c r="F20" i="1"/>
  <c r="K20" s="1"/>
  <c r="G23" i="8"/>
  <c r="F3" i="10"/>
  <c r="G3"/>
  <c r="H3"/>
  <c r="F3" i="3"/>
  <c r="G3"/>
  <c r="H3"/>
  <c r="J22" i="2"/>
  <c r="G26" i="3"/>
  <c r="C27"/>
  <c r="F6" i="10"/>
  <c r="G6"/>
  <c r="H6"/>
  <c r="I14" i="2"/>
  <c r="M14" s="1"/>
  <c r="E12" i="3"/>
  <c r="F8"/>
  <c r="H8"/>
  <c r="G8"/>
  <c r="F4"/>
  <c r="G4"/>
  <c r="H4"/>
  <c r="F5" i="10"/>
  <c r="G5"/>
  <c r="H5"/>
  <c r="G31" i="1"/>
  <c r="E2" i="2"/>
  <c r="E8"/>
  <c r="F9"/>
  <c r="G10"/>
  <c r="I10" s="1"/>
  <c r="J13"/>
  <c r="E16"/>
  <c r="F17"/>
  <c r="H5" i="3"/>
  <c r="F7"/>
  <c r="I2" i="4"/>
  <c r="J3"/>
  <c r="E6"/>
  <c r="F7"/>
  <c r="I7" s="1"/>
  <c r="G8"/>
  <c r="I8" s="1"/>
  <c r="H9"/>
  <c r="I9" s="1"/>
  <c r="I10"/>
  <c r="H3" i="5"/>
  <c r="I3" s="1"/>
  <c r="G4"/>
  <c r="I4" s="1"/>
  <c r="F5"/>
  <c r="F18" s="1"/>
  <c r="F6"/>
  <c r="E7"/>
  <c r="I2" i="7"/>
  <c r="I8" s="1"/>
  <c r="F4" i="9"/>
  <c r="I4" s="1"/>
  <c r="E5"/>
  <c r="C14"/>
  <c r="E14" s="1"/>
  <c r="E19" s="1"/>
  <c r="G24" s="1"/>
  <c r="G4" i="10"/>
  <c r="C22" i="3"/>
  <c r="C17" i="4"/>
  <c r="C22" s="1"/>
  <c r="C27" s="1"/>
  <c r="C30" s="1"/>
  <c r="G28" s="1"/>
  <c r="F11" i="1" s="1"/>
  <c r="H10" i="8"/>
  <c r="G5" i="2"/>
  <c r="E10"/>
  <c r="G12"/>
  <c r="I12" s="1"/>
  <c r="M12" s="1"/>
  <c r="H13"/>
  <c r="C18"/>
  <c r="C23" s="1"/>
  <c r="C27" s="1"/>
  <c r="E2" i="3"/>
  <c r="H3" i="4"/>
  <c r="E8"/>
  <c r="C18" i="5"/>
  <c r="C27" s="1"/>
  <c r="C30" s="1"/>
  <c r="G28" s="1"/>
  <c r="F12" i="1" s="1"/>
  <c r="L29" i="9"/>
  <c r="G2" i="10"/>
  <c r="G7"/>
  <c r="J2" i="2"/>
  <c r="J8"/>
  <c r="G13"/>
  <c r="J16"/>
  <c r="H6" i="3"/>
  <c r="G3" i="4"/>
  <c r="J6"/>
  <c r="J7" i="5"/>
  <c r="L31"/>
  <c r="R56"/>
  <c r="J5" i="9"/>
  <c r="L31" i="10"/>
  <c r="I12" s="1"/>
  <c r="E5" i="2"/>
  <c r="J9"/>
  <c r="E12"/>
  <c r="F13"/>
  <c r="I13" s="1"/>
  <c r="M13" s="1"/>
  <c r="J17"/>
  <c r="G6" i="3"/>
  <c r="F3" i="4"/>
  <c r="H5"/>
  <c r="I5" s="1"/>
  <c r="N5" s="1"/>
  <c r="J7"/>
  <c r="E10"/>
  <c r="J5" i="5"/>
  <c r="J6"/>
  <c r="H8"/>
  <c r="I2" i="9"/>
  <c r="J4"/>
  <c r="H2" i="2"/>
  <c r="I2" s="1"/>
  <c r="H8"/>
  <c r="I8" s="1"/>
  <c r="M8" s="1"/>
  <c r="I9"/>
  <c r="M9" s="1"/>
  <c r="J10"/>
  <c r="H16"/>
  <c r="I16" s="1"/>
  <c r="I17"/>
  <c r="M17" s="1"/>
  <c r="H6" i="4"/>
  <c r="I6" s="1"/>
  <c r="J8"/>
  <c r="J4" i="5"/>
  <c r="I6"/>
  <c r="H7"/>
  <c r="G8"/>
  <c r="I8" s="1"/>
  <c r="R47"/>
  <c r="R49"/>
  <c r="R51"/>
  <c r="R53"/>
  <c r="C23" i="7"/>
  <c r="C26" s="1"/>
  <c r="G28" s="1"/>
  <c r="F16" i="1" s="1"/>
  <c r="H5" i="9"/>
  <c r="H14" s="1"/>
  <c r="H19" s="1"/>
  <c r="G6"/>
  <c r="I6" s="1"/>
  <c r="G6" i="4"/>
  <c r="G7" i="5"/>
  <c r="I7" s="1"/>
  <c r="G5" i="9"/>
  <c r="I2" i="5"/>
  <c r="J2" i="7"/>
  <c r="J8" s="1"/>
  <c r="G27" s="1"/>
  <c r="E16" i="1" s="1"/>
  <c r="L2" i="3" l="1"/>
  <c r="G17" i="4"/>
  <c r="G22" s="1"/>
  <c r="M16" i="2"/>
  <c r="F18"/>
  <c r="F23" s="1"/>
  <c r="I5" i="5"/>
  <c r="N5" s="1"/>
  <c r="J18"/>
  <c r="J17" i="4"/>
  <c r="J22" s="1"/>
  <c r="F14" i="9"/>
  <c r="F19" s="1"/>
  <c r="H17" i="4"/>
  <c r="H22" s="1"/>
  <c r="E17"/>
  <c r="E22" s="1"/>
  <c r="G26" s="1"/>
  <c r="D11" i="1" s="1"/>
  <c r="M10" i="2"/>
  <c r="G18"/>
  <c r="G23" s="1"/>
  <c r="H12" i="10"/>
  <c r="G26"/>
  <c r="D27" i="1" s="1"/>
  <c r="C27" i="10"/>
  <c r="C30" s="1"/>
  <c r="G28" s="1"/>
  <c r="C30" i="3"/>
  <c r="G28" s="1"/>
  <c r="F10" i="1" s="1"/>
  <c r="F12" i="10"/>
  <c r="C30" i="2"/>
  <c r="G28" s="1"/>
  <c r="F8" i="1" s="1"/>
  <c r="E18" i="5"/>
  <c r="G26" s="1"/>
  <c r="D12" i="1" s="1"/>
  <c r="E18" i="2"/>
  <c r="E23" s="1"/>
  <c r="G26" s="1"/>
  <c r="D8" i="1" s="1"/>
  <c r="I5" i="9"/>
  <c r="I14" s="1"/>
  <c r="I19" s="1"/>
  <c r="J14"/>
  <c r="J19" s="1"/>
  <c r="L3"/>
  <c r="M3" s="1"/>
  <c r="L4"/>
  <c r="M4" s="1"/>
  <c r="L5"/>
  <c r="L7"/>
  <c r="M7" s="1"/>
  <c r="L6"/>
  <c r="O6" s="1"/>
  <c r="F17" i="4"/>
  <c r="F22" s="1"/>
  <c r="I3"/>
  <c r="H18" i="5"/>
  <c r="H2" i="3"/>
  <c r="H12" s="1"/>
  <c r="F2"/>
  <c r="F12" s="1"/>
  <c r="G2"/>
  <c r="G12" s="1"/>
  <c r="G32" i="7"/>
  <c r="D16" i="1"/>
  <c r="K16" s="1"/>
  <c r="J18" i="2"/>
  <c r="J23" s="1"/>
  <c r="C19" i="9"/>
  <c r="C25" s="1"/>
  <c r="L14"/>
  <c r="L19" s="1"/>
  <c r="D10" i="1"/>
  <c r="G12" i="10"/>
  <c r="G14" i="9"/>
  <c r="G19" s="1"/>
  <c r="G18" i="5"/>
  <c r="H18" i="2"/>
  <c r="H23" s="1"/>
  <c r="L3" i="5"/>
  <c r="N3" s="1"/>
  <c r="L4"/>
  <c r="N4" s="1"/>
  <c r="L6"/>
  <c r="N6" s="1"/>
  <c r="L18"/>
  <c r="L7"/>
  <c r="N7" s="1"/>
  <c r="L8"/>
  <c r="N8" s="1"/>
  <c r="I5" i="2"/>
  <c r="N2" i="3" l="1"/>
  <c r="O2" s="1"/>
  <c r="I18" i="5"/>
  <c r="G27" i="4"/>
  <c r="E11" i="1" s="1"/>
  <c r="K11" s="1"/>
  <c r="I17" i="4"/>
  <c r="I22" s="1"/>
  <c r="N3"/>
  <c r="G27" i="10"/>
  <c r="G32" s="1"/>
  <c r="G27" i="5"/>
  <c r="E12" i="1" s="1"/>
  <c r="K12" s="1"/>
  <c r="M5" i="9"/>
  <c r="M8" s="1"/>
  <c r="G25"/>
  <c r="G27" i="2"/>
  <c r="E8" i="1" s="1"/>
  <c r="K8" s="1"/>
  <c r="M10" i="9"/>
  <c r="C28"/>
  <c r="G26" s="1"/>
  <c r="F27" i="1" s="1"/>
  <c r="F31" s="1"/>
  <c r="D31"/>
  <c r="G27" i="3"/>
  <c r="N11" i="5"/>
  <c r="G32" i="4" l="1"/>
  <c r="E27" i="1"/>
  <c r="K27" s="1"/>
  <c r="G32" i="5"/>
  <c r="M14" i="9"/>
  <c r="O37" s="1"/>
  <c r="V37" s="1"/>
  <c r="G30"/>
  <c r="G32" i="2"/>
  <c r="E10" i="1"/>
  <c r="K10" s="1"/>
  <c r="G32" i="3"/>
  <c r="X40" i="5"/>
  <c r="P40"/>
  <c r="U49" i="9" l="1"/>
  <c r="W49" s="1"/>
  <c r="U42"/>
  <c r="X42" s="1"/>
  <c r="K31" i="1"/>
  <c r="U45" i="9"/>
  <c r="X45" s="1"/>
  <c r="U46"/>
  <c r="W46" s="1"/>
  <c r="U50"/>
  <c r="W50" s="1"/>
  <c r="U47"/>
  <c r="X47" s="1"/>
  <c r="U51"/>
  <c r="X51" s="1"/>
  <c r="P55" i="5"/>
  <c r="U55" s="1"/>
  <c r="X55" s="1"/>
  <c r="P53"/>
  <c r="U53" s="1"/>
  <c r="X53" s="1"/>
  <c r="P51"/>
  <c r="U51" s="1"/>
  <c r="X51" s="1"/>
  <c r="P49"/>
  <c r="U49" s="1"/>
  <c r="X49" s="1"/>
  <c r="P47"/>
  <c r="P56"/>
  <c r="U56" s="1"/>
  <c r="X56" s="1"/>
  <c r="P57"/>
  <c r="U57" s="1"/>
  <c r="X57" s="1"/>
  <c r="P54"/>
  <c r="U54" s="1"/>
  <c r="X54" s="1"/>
  <c r="P52"/>
  <c r="U52" s="1"/>
  <c r="X52" s="1"/>
  <c r="P50"/>
  <c r="U50" s="1"/>
  <c r="X50" s="1"/>
  <c r="P48"/>
  <c r="U48" s="1"/>
  <c r="X48" s="1"/>
  <c r="E31" i="1"/>
  <c r="K33" s="1"/>
  <c r="X49" i="9" l="1"/>
  <c r="W47"/>
  <c r="X46"/>
  <c r="W42"/>
  <c r="X50"/>
  <c r="U54"/>
  <c r="W45"/>
  <c r="W51"/>
  <c r="P58" i="5"/>
  <c r="U47"/>
  <c r="X52" i="9" l="1"/>
  <c r="W52"/>
  <c r="U58" i="5"/>
  <c r="X47"/>
  <c r="X58" s="1"/>
  <c r="I18" i="2"/>
  <c r="I23" s="1"/>
</calcChain>
</file>

<file path=xl/sharedStrings.xml><?xml version="1.0" encoding="utf-8"?>
<sst xmlns="http://schemas.openxmlformats.org/spreadsheetml/2006/main" count="666" uniqueCount="317">
  <si>
    <t>Tri-County Special Education Association</t>
  </si>
  <si>
    <t>Budget Planning Worksheet</t>
  </si>
  <si>
    <t>x</t>
  </si>
  <si>
    <t>Initial Budget</t>
  </si>
  <si>
    <t>Amendment Number</t>
  </si>
  <si>
    <t>Beginning
Date:</t>
  </si>
  <si>
    <t xml:space="preserve">     Line</t>
  </si>
  <si>
    <t>Funct. No.
1</t>
  </si>
  <si>
    <t>EXPENDITURE ACCOUNT
2</t>
  </si>
  <si>
    <t>SALARIES
3
(Obj. 100's)</t>
  </si>
  <si>
    <t>EMPLOYEE BENEFITS 
4 
(Obj. 200's)</t>
  </si>
  <si>
    <t>PURCHASED SERVICES
5
(Obj. 300's)</t>
  </si>
  <si>
    <t>SUPPLIES &amp; MATERIALS
6
(Obj. 400's)</t>
  </si>
  <si>
    <t>CAPITAL OUTLAY**
7
(Obj. 500's)</t>
  </si>
  <si>
    <t>OTHER OBJECTS
8
(Obj. 600's)</t>
  </si>
  <si>
    <t>TRANSFERS
9
(Obj. 700's)</t>
  </si>
  <si>
    <t xml:space="preserve">TOTAL
11
</t>
  </si>
  <si>
    <t>Salaries</t>
  </si>
  <si>
    <t>Attendance &amp; Social Work Service</t>
  </si>
  <si>
    <t>Guidance Services</t>
  </si>
  <si>
    <t>Health Services</t>
  </si>
  <si>
    <t>Psychological Services</t>
  </si>
  <si>
    <t>Speech Pathology &amp; Audiology</t>
  </si>
  <si>
    <t>Improvement of Instruction</t>
  </si>
  <si>
    <t>Educational Media Services</t>
  </si>
  <si>
    <t>Tuition</t>
  </si>
  <si>
    <t>General Administration</t>
  </si>
  <si>
    <t>Direction of Business Support*</t>
  </si>
  <si>
    <t>Fiscal Services*</t>
  </si>
  <si>
    <t>Facilities Acquisition &amp; Constr.</t>
  </si>
  <si>
    <t>Operation &amp; Maintenance of Plant</t>
  </si>
  <si>
    <t>Internal Services*</t>
  </si>
  <si>
    <t>Direction of Central Support</t>
  </si>
  <si>
    <t>Planning, Research, Dev. &amp; Eval.</t>
  </si>
  <si>
    <t>Information Services</t>
  </si>
  <si>
    <t>Staff Services*</t>
  </si>
  <si>
    <t>Data Processing Services*</t>
  </si>
  <si>
    <t>Other Support Services</t>
  </si>
  <si>
    <t>Community Service</t>
  </si>
  <si>
    <t>Contingency</t>
  </si>
  <si>
    <t>Payments to Other Gov. Units</t>
  </si>
  <si>
    <t>Total Direct Costs</t>
  </si>
  <si>
    <t>Approved Indirect Costs X ________%</t>
  </si>
  <si>
    <t>TOTAL BUDGET</t>
  </si>
  <si>
    <t>Name</t>
  </si>
  <si>
    <t>FTE</t>
  </si>
  <si>
    <t>IRS Salary</t>
  </si>
  <si>
    <t>travel stipend</t>
  </si>
  <si>
    <t>Gross IRS salary</t>
  </si>
  <si>
    <t>Board Paid TRS  9%</t>
  </si>
  <si>
    <t>2.16 %       THIS</t>
  </si>
  <si>
    <t>.58%           NEC</t>
  </si>
  <si>
    <t>TRS Salary</t>
  </si>
  <si>
    <t>1.45%         Med</t>
  </si>
  <si>
    <t>6.2%             FICA</t>
  </si>
  <si>
    <t>Health Ins</t>
  </si>
  <si>
    <t>Block, Tara</t>
  </si>
  <si>
    <t>Dierker, Allison</t>
  </si>
  <si>
    <t>Bland, Hannah</t>
  </si>
  <si>
    <t>Duggins, Delyn</t>
  </si>
  <si>
    <t>Earle, Michelle</t>
  </si>
  <si>
    <t>Etheridge, Jeanne</t>
  </si>
  <si>
    <t>Kemp, Brittany</t>
  </si>
  <si>
    <t>King, Heather</t>
  </si>
  <si>
    <t>Roehm, Laura</t>
  </si>
  <si>
    <t>Ruppert, Emilie</t>
  </si>
  <si>
    <t>Ryan, Molly</t>
  </si>
  <si>
    <t>Walters, Sarah</t>
  </si>
  <si>
    <t>Interns</t>
  </si>
  <si>
    <t xml:space="preserve"> </t>
  </si>
  <si>
    <t>TOTALS</t>
  </si>
  <si>
    <t>2110-300 Purch Svc</t>
  </si>
  <si>
    <t>Unemp Ins</t>
  </si>
  <si>
    <t>Salary</t>
  </si>
  <si>
    <t>TRS</t>
  </si>
  <si>
    <t>WC Ins</t>
  </si>
  <si>
    <t>Benefits</t>
  </si>
  <si>
    <t>THIS</t>
  </si>
  <si>
    <t>Travel @ $.585/mi</t>
  </si>
  <si>
    <t>Pur Svc</t>
  </si>
  <si>
    <t>NEC</t>
  </si>
  <si>
    <t>Contractual SSW</t>
  </si>
  <si>
    <t>Supply</t>
  </si>
  <si>
    <t>Med</t>
  </si>
  <si>
    <t>Total PS</t>
  </si>
  <si>
    <t>Capital</t>
  </si>
  <si>
    <t>FICA</t>
  </si>
  <si>
    <t>2110-400 Sup, Matl</t>
  </si>
  <si>
    <t>H/L ins</t>
  </si>
  <si>
    <t>2110-500 Capital</t>
  </si>
  <si>
    <t>Total SSW</t>
  </si>
  <si>
    <t>WC</t>
  </si>
  <si>
    <t>UC</t>
  </si>
  <si>
    <t>stipend</t>
  </si>
  <si>
    <t>12.75% IMRF</t>
  </si>
  <si>
    <t>Walter, Molly</t>
  </si>
  <si>
    <t>Anderson, Lesley</t>
  </si>
  <si>
    <t>Hanlin, Gayle</t>
  </si>
  <si>
    <t>Riedle, Jennifer</t>
  </si>
  <si>
    <t>Shattuck, Mary</t>
  </si>
  <si>
    <t>Total Salaries</t>
  </si>
  <si>
    <t>Derges, Sara</t>
  </si>
  <si>
    <t>Evans, Shacorrah</t>
  </si>
  <si>
    <t>Orzolek, Susan</t>
  </si>
  <si>
    <t>Solava, Dorene</t>
  </si>
  <si>
    <t>Total Contractual</t>
  </si>
  <si>
    <t>2130-300 Purch Svc</t>
  </si>
  <si>
    <t>Contractual OT/PT</t>
  </si>
  <si>
    <t>2130-400 Sup, Matl</t>
  </si>
  <si>
    <t>2130-500 Capital</t>
  </si>
  <si>
    <t>Total Therapy</t>
  </si>
  <si>
    <t>IMRF</t>
  </si>
  <si>
    <t>Harris, Beth</t>
  </si>
  <si>
    <t>Kris Morgan</t>
  </si>
  <si>
    <t>Lanning, Dawn</t>
  </si>
  <si>
    <t>Macpherson, Jenni</t>
  </si>
  <si>
    <t>McCraith, Kelly</t>
  </si>
  <si>
    <t>Snodgrass, Tim</t>
  </si>
  <si>
    <t>Julie Hesse</t>
  </si>
  <si>
    <t>Varble, Raquel</t>
  </si>
  <si>
    <t>Mann, Trisha</t>
  </si>
  <si>
    <t>Buhrow, Stephanie</t>
  </si>
  <si>
    <t>intern</t>
  </si>
  <si>
    <t>2140-300 Purch Svc</t>
  </si>
  <si>
    <t>Contractual psych</t>
  </si>
  <si>
    <t>2140-400 Sup, Matl</t>
  </si>
  <si>
    <t>2140-500 Capital</t>
  </si>
  <si>
    <t>Shared SLP time</t>
  </si>
  <si>
    <t>Cartright, Andrea</t>
  </si>
  <si>
    <t>Berry, Alex</t>
  </si>
  <si>
    <t>Larkin, Trish</t>
  </si>
  <si>
    <t>Anderson, Carrie</t>
  </si>
  <si>
    <t>Edgington, Rebecca</t>
  </si>
  <si>
    <t>Russow, Katie</t>
  </si>
  <si>
    <t>Contractual SLP</t>
  </si>
  <si>
    <t>ISU</t>
  </si>
  <si>
    <t>TOTAL</t>
  </si>
  <si>
    <t xml:space="preserve">  </t>
  </si>
  <si>
    <t>2150-300 Purch Svc</t>
  </si>
  <si>
    <t>2150-400 Sup, Matl</t>
  </si>
  <si>
    <t>2150-500 Capital</t>
  </si>
  <si>
    <t xml:space="preserve">Billing for </t>
  </si>
  <si>
    <t xml:space="preserve">Speech-Language Pathology Services </t>
  </si>
  <si>
    <t>2020-21 School Year</t>
  </si>
  <si>
    <t>First Semester</t>
  </si>
  <si>
    <t xml:space="preserve">Shared </t>
  </si>
  <si>
    <t xml:space="preserve">Cost </t>
  </si>
  <si>
    <t>Avg1.0FTE</t>
  </si>
  <si>
    <t xml:space="preserve">Less </t>
  </si>
  <si>
    <t>Net</t>
  </si>
  <si>
    <t>Actual</t>
  </si>
  <si>
    <t>FY20</t>
  </si>
  <si>
    <t>Gross</t>
  </si>
  <si>
    <t>Personnel</t>
  </si>
  <si>
    <t xml:space="preserve">Annual </t>
  </si>
  <si>
    <t>Semester</t>
  </si>
  <si>
    <t>Annual $</t>
  </si>
  <si>
    <t>Reimb</t>
  </si>
  <si>
    <t>Cost</t>
  </si>
  <si>
    <t>Olympia</t>
  </si>
  <si>
    <t>CEL</t>
  </si>
  <si>
    <t>H-EM</t>
  </si>
  <si>
    <t>Leroy</t>
  </si>
  <si>
    <t>NH-M</t>
  </si>
  <si>
    <t>WLB*</t>
  </si>
  <si>
    <t>EPG</t>
  </si>
  <si>
    <t>Mt. Pulaski</t>
  </si>
  <si>
    <t>Clinton</t>
  </si>
  <si>
    <t>Please remit the 1st Semester Cost for your district to Tri-County Special Education Association, 105 E. Hamilton Road, Bloomington, Illinois  61704.</t>
  </si>
  <si>
    <t>Professional Development</t>
  </si>
  <si>
    <t>2210-300  Purchased Services</t>
  </si>
  <si>
    <t>Infinitec  75* enrollment</t>
  </si>
  <si>
    <t>TCSEA PD costs - staff</t>
  </si>
  <si>
    <t>Total 2210-300</t>
  </si>
  <si>
    <t>2210-400  Supplies, materials</t>
  </si>
  <si>
    <t>Supplies, books</t>
  </si>
  <si>
    <t>Food</t>
  </si>
  <si>
    <t>Total 2210-400</t>
  </si>
  <si>
    <t>2210-500  Equipment over $500</t>
  </si>
  <si>
    <t>Total 2210-500</t>
  </si>
  <si>
    <t>2210-300</t>
  </si>
  <si>
    <t>2210-400</t>
  </si>
  <si>
    <t>2210-500</t>
  </si>
  <si>
    <t>Hogan, Scott</t>
  </si>
  <si>
    <t>Totals</t>
  </si>
  <si>
    <t>Purchased Svcs</t>
  </si>
  <si>
    <t>Supplies, Materials</t>
  </si>
  <si>
    <t>Travel</t>
  </si>
  <si>
    <t>Office supplies</t>
  </si>
  <si>
    <t>Treasurers Bond</t>
  </si>
  <si>
    <t>Printing</t>
  </si>
  <si>
    <t>Audit</t>
  </si>
  <si>
    <t>Equipment</t>
  </si>
  <si>
    <t>Legal</t>
  </si>
  <si>
    <t xml:space="preserve">3 Computers </t>
  </si>
  <si>
    <t>Postage</t>
  </si>
  <si>
    <t>Liability Ins</t>
  </si>
  <si>
    <t>Professional Devel</t>
  </si>
  <si>
    <t>PRESS</t>
  </si>
  <si>
    <t>2320-100</t>
  </si>
  <si>
    <t>2320-200</t>
  </si>
  <si>
    <t>2320-300</t>
  </si>
  <si>
    <t>2320-400</t>
  </si>
  <si>
    <t>2320-500</t>
  </si>
  <si>
    <t>Total Dir</t>
  </si>
  <si>
    <t>Operation &amp; Maintenance</t>
  </si>
  <si>
    <t>2540-100</t>
  </si>
  <si>
    <t>Custodial - M Moos</t>
  </si>
  <si>
    <t>2540-300  Purchased Services</t>
  </si>
  <si>
    <t>Custodial Services</t>
  </si>
  <si>
    <t>Property Services</t>
  </si>
  <si>
    <t>Repair &amp; Maintenance</t>
  </si>
  <si>
    <t>Water, sewer</t>
  </si>
  <si>
    <t>Telephone, T1, TAS cell</t>
  </si>
  <si>
    <t>Total 2540-300</t>
  </si>
  <si>
    <t>2540-400  Supplies, Mat'ls</t>
  </si>
  <si>
    <t>2540-200</t>
  </si>
  <si>
    <t>Property supplies</t>
  </si>
  <si>
    <t>2540-300</t>
  </si>
  <si>
    <t>Natural gas</t>
  </si>
  <si>
    <t>2540-400</t>
  </si>
  <si>
    <t>Electric</t>
  </si>
  <si>
    <t>2540-500</t>
  </si>
  <si>
    <t>Total 2540-400</t>
  </si>
  <si>
    <t>Total 2540</t>
  </si>
  <si>
    <t>2540-500  Capital outlay</t>
  </si>
  <si>
    <t>Shared TAS costs</t>
  </si>
  <si>
    <t>Kari</t>
  </si>
  <si>
    <t>Payne, Ginger</t>
  </si>
  <si>
    <t>Veldman, Kari</t>
  </si>
  <si>
    <t>Gloede, Lyndsay</t>
  </si>
  <si>
    <t>total to districts</t>
  </si>
  <si>
    <t>2900-300 Purch Svc</t>
  </si>
  <si>
    <t>Dean, Kris</t>
  </si>
  <si>
    <t>POWER IEP</t>
  </si>
  <si>
    <t>2900-400 Sup, Matl</t>
  </si>
  <si>
    <t>2900-500 Capital</t>
  </si>
  <si>
    <t>District Costs--Technical Assistance Supervision.</t>
  </si>
  <si>
    <t>2019-20 School Year--First and Second Semester</t>
  </si>
  <si>
    <t>Total Cost (2.7 FTE)</t>
  </si>
  <si>
    <t>2ndSem.</t>
  </si>
  <si>
    <t>Cost each 1.0 FTE</t>
  </si>
  <si>
    <t>Less</t>
  </si>
  <si>
    <t xml:space="preserve">District </t>
  </si>
  <si>
    <t>First</t>
  </si>
  <si>
    <t>Second</t>
  </si>
  <si>
    <t>District</t>
  </si>
  <si>
    <t>Days/Wk.</t>
  </si>
  <si>
    <t>FY 21</t>
  </si>
  <si>
    <t>Reimb.</t>
  </si>
  <si>
    <t xml:space="preserve"> Cost</t>
  </si>
  <si>
    <t>Sem. Cost</t>
  </si>
  <si>
    <t>Olympia*</t>
  </si>
  <si>
    <t>Clinton*</t>
  </si>
  <si>
    <t>Blue Ridge</t>
  </si>
  <si>
    <t>LeRoy</t>
  </si>
  <si>
    <t>Lexington</t>
  </si>
  <si>
    <t>Ridgeview</t>
  </si>
  <si>
    <t>NHM</t>
  </si>
  <si>
    <t>WLB</t>
  </si>
  <si>
    <t>Total reimbursement for TAS</t>
  </si>
  <si>
    <t>Please pay the semester cost (in bold print).</t>
  </si>
  <si>
    <t>Miller, Cheryl</t>
  </si>
  <si>
    <t>Harpenau, Laurie</t>
  </si>
  <si>
    <t>Maddeline Moos</t>
  </si>
  <si>
    <t>VanBibber, Jody</t>
  </si>
  <si>
    <t>Quinton, Judy</t>
  </si>
  <si>
    <t>Technical Support</t>
  </si>
  <si>
    <t>Total Admin Asst</t>
  </si>
  <si>
    <t>Payments to Other Districts  4000-300</t>
  </si>
  <si>
    <t>Administrative District fee</t>
  </si>
  <si>
    <t>HILIA - Transition Svcs</t>
  </si>
  <si>
    <t>HILIA - Diagnostics</t>
  </si>
  <si>
    <t>HILIA - Fiscal Agent</t>
  </si>
  <si>
    <t>HILIA - Staff devel, Prog Eval</t>
  </si>
  <si>
    <t>HILIA - Program facilitators</t>
  </si>
  <si>
    <t>ROE - SAVE program</t>
  </si>
  <si>
    <t>Total 4000-300</t>
  </si>
  <si>
    <t>tables and chairs for lincoln Office</t>
  </si>
  <si>
    <t>Hamilton, CJ</t>
  </si>
  <si>
    <t>FY 22</t>
  </si>
  <si>
    <t>5 days</t>
  </si>
  <si>
    <t>3 days</t>
  </si>
  <si>
    <t>1 day</t>
  </si>
  <si>
    <t xml:space="preserve">1 day </t>
  </si>
  <si>
    <t>ridgeview</t>
  </si>
  <si>
    <t>blue ridge</t>
  </si>
  <si>
    <t>Sarah Epplin</t>
  </si>
  <si>
    <t>Blaire Green</t>
  </si>
  <si>
    <t>Kristi Ebbers</t>
  </si>
  <si>
    <t>Lincoln 27</t>
  </si>
  <si>
    <t>OLY</t>
  </si>
  <si>
    <t>clinton</t>
  </si>
  <si>
    <t>ROE</t>
  </si>
  <si>
    <t>2day</t>
  </si>
  <si>
    <t>cel&amp; Hartem</t>
  </si>
  <si>
    <t>L27</t>
  </si>
  <si>
    <t xml:space="preserve">1 Day </t>
  </si>
  <si>
    <t>Heyworth</t>
  </si>
  <si>
    <t xml:space="preserve">.5 day </t>
  </si>
  <si>
    <t>TV</t>
  </si>
  <si>
    <t>Belanger, Sydney</t>
  </si>
  <si>
    <t>Duncan, Dijon</t>
  </si>
  <si>
    <t>Arnold, Katy</t>
  </si>
  <si>
    <t>Prochnow, Kari</t>
  </si>
  <si>
    <t>Billiter, Rebecca</t>
  </si>
  <si>
    <t>Welter, Wendy</t>
  </si>
  <si>
    <t>Intern - Glossop</t>
  </si>
  <si>
    <t>Intern - Wingate</t>
  </si>
  <si>
    <t>Novak &amp; Young</t>
  </si>
  <si>
    <t>Val Spivey</t>
  </si>
  <si>
    <t>Cumulative Assessment 22</t>
  </si>
  <si>
    <t>EndDate:     6/30/22</t>
  </si>
  <si>
    <t>Lagreca, Shawna</t>
  </si>
  <si>
    <t>Lawless, Kristine</t>
  </si>
  <si>
    <t>Vonachen, Julia</t>
  </si>
  <si>
    <t>Tom Youngburg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</si>
</sst>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&quot;$&quot;#,##0"/>
    <numFmt numFmtId="167" formatCode="#,##0.0"/>
    <numFmt numFmtId="168" formatCode="&quot;$&quot;#,##0.0"/>
  </numFmts>
  <fonts count="40">
    <font>
      <sz val="11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1"/>
      <color theme="1"/>
      <name val="Arial"/>
    </font>
    <font>
      <sz val="7"/>
      <color theme="1"/>
      <name val="Open Sans"/>
    </font>
    <font>
      <sz val="6"/>
      <color theme="1"/>
      <name val="Open Sans"/>
    </font>
    <font>
      <sz val="9"/>
      <color theme="1"/>
      <name val="Times New Roman"/>
    </font>
    <font>
      <b/>
      <sz val="7"/>
      <color theme="1"/>
      <name val="Open Sans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b/>
      <u/>
      <sz val="11"/>
      <color theme="1"/>
      <name val="Calibri"/>
    </font>
    <font>
      <b/>
      <sz val="9"/>
      <color theme="1"/>
      <name val="Calibri"/>
    </font>
    <font>
      <sz val="10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1"/>
      <color rgb="FFF7981D"/>
      <name val="Inconsolata"/>
    </font>
    <font>
      <b/>
      <u/>
      <sz val="11"/>
      <color theme="1"/>
      <name val="Calibri"/>
    </font>
    <font>
      <b/>
      <sz val="12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u/>
      <sz val="12"/>
      <color theme="1"/>
      <name val="Arial"/>
    </font>
    <font>
      <u/>
      <sz val="12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b/>
      <sz val="10"/>
      <color theme="1"/>
      <name val="Calibri"/>
    </font>
    <font>
      <sz val="7"/>
      <color theme="1"/>
      <name val="Arial"/>
    </font>
    <font>
      <sz val="8"/>
      <color theme="1"/>
      <name val="Arial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3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wrapText="1"/>
    </xf>
    <xf numFmtId="14" fontId="2" fillId="0" borderId="2" xfId="0" applyNumberFormat="1" applyFont="1" applyBorder="1"/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/>
    <xf numFmtId="0" fontId="4" fillId="0" borderId="2" xfId="0" applyFont="1" applyBorder="1"/>
    <xf numFmtId="0" fontId="5" fillId="0" borderId="2" xfId="0" applyFont="1" applyBorder="1"/>
    <xf numFmtId="3" fontId="6" fillId="0" borderId="2" xfId="0" applyNumberFormat="1" applyFont="1" applyBorder="1"/>
    <xf numFmtId="3" fontId="6" fillId="2" borderId="2" xfId="0" applyNumberFormat="1" applyFont="1" applyFill="1" applyBorder="1"/>
    <xf numFmtId="3" fontId="6" fillId="0" borderId="2" xfId="0" applyNumberFormat="1" applyFont="1" applyBorder="1" applyAlignment="1"/>
    <xf numFmtId="0" fontId="7" fillId="0" borderId="4" xfId="0" applyFont="1" applyBorder="1"/>
    <xf numFmtId="3" fontId="6" fillId="0" borderId="5" xfId="0" applyNumberFormat="1" applyFont="1" applyBorder="1"/>
    <xf numFmtId="3" fontId="6" fillId="2" borderId="6" xfId="0" applyNumberFormat="1" applyFont="1" applyFill="1" applyBorder="1"/>
    <xf numFmtId="3" fontId="6" fillId="0" borderId="4" xfId="0" applyNumberFormat="1" applyFont="1" applyBorder="1"/>
    <xf numFmtId="3" fontId="6" fillId="2" borderId="7" xfId="0" applyNumberFormat="1" applyFont="1" applyFill="1" applyBorder="1"/>
    <xf numFmtId="0" fontId="8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64" fontId="11" fillId="0" borderId="0" xfId="0" applyNumberFormat="1" applyFont="1"/>
    <xf numFmtId="3" fontId="11" fillId="0" borderId="0" xfId="0" applyNumberFormat="1" applyFont="1" applyAlignment="1"/>
    <xf numFmtId="3" fontId="11" fillId="0" borderId="0" xfId="0" applyNumberFormat="1" applyFont="1"/>
    <xf numFmtId="0" fontId="10" fillId="0" borderId="0" xfId="0" applyFont="1" applyAlignment="1"/>
    <xf numFmtId="164" fontId="11" fillId="0" borderId="0" xfId="0" applyNumberFormat="1" applyFont="1" applyAlignment="1"/>
    <xf numFmtId="3" fontId="11" fillId="3" borderId="8" xfId="0" applyNumberFormat="1" applyFont="1" applyFill="1" applyBorder="1"/>
    <xf numFmtId="164" fontId="12" fillId="0" borderId="0" xfId="0" applyNumberFormat="1" applyFont="1"/>
    <xf numFmtId="3" fontId="13" fillId="0" borderId="0" xfId="0" applyNumberFormat="1" applyFont="1" applyAlignment="1"/>
    <xf numFmtId="3" fontId="14" fillId="0" borderId="0" xfId="0" applyNumberFormat="1" applyFont="1"/>
    <xf numFmtId="3" fontId="15" fillId="0" borderId="0" xfId="0" applyNumberFormat="1" applyFont="1"/>
    <xf numFmtId="0" fontId="15" fillId="0" borderId="0" xfId="0" applyFont="1"/>
    <xf numFmtId="165" fontId="11" fillId="0" borderId="0" xfId="0" applyNumberFormat="1" applyFont="1"/>
    <xf numFmtId="166" fontId="11" fillId="0" borderId="0" xfId="0" applyNumberFormat="1" applyFont="1"/>
    <xf numFmtId="166" fontId="15" fillId="0" borderId="0" xfId="0" applyNumberFormat="1" applyFont="1"/>
    <xf numFmtId="166" fontId="11" fillId="0" borderId="0" xfId="0" applyNumberFormat="1" applyFont="1" applyAlignment="1"/>
    <xf numFmtId="166" fontId="16" fillId="0" borderId="0" xfId="0" applyNumberFormat="1" applyFont="1" applyAlignment="1"/>
    <xf numFmtId="0" fontId="17" fillId="0" borderId="0" xfId="0" applyFont="1"/>
    <xf numFmtId="166" fontId="18" fillId="0" borderId="0" xfId="0" applyNumberFormat="1" applyFont="1"/>
    <xf numFmtId="166" fontId="19" fillId="0" borderId="0" xfId="0" applyNumberFormat="1" applyFont="1"/>
    <xf numFmtId="0" fontId="11" fillId="0" borderId="0" xfId="0" applyFont="1" applyAlignment="1">
      <alignment horizontal="center" wrapText="1"/>
    </xf>
    <xf numFmtId="2" fontId="20" fillId="0" borderId="0" xfId="0" applyNumberFormat="1" applyFont="1"/>
    <xf numFmtId="164" fontId="21" fillId="0" borderId="0" xfId="0" applyNumberFormat="1" applyFont="1"/>
    <xf numFmtId="3" fontId="22" fillId="0" borderId="0" xfId="0" applyNumberFormat="1" applyFont="1"/>
    <xf numFmtId="166" fontId="23" fillId="0" borderId="0" xfId="0" applyNumberFormat="1" applyFont="1"/>
    <xf numFmtId="164" fontId="24" fillId="0" borderId="0" xfId="0" applyNumberFormat="1" applyFont="1" applyAlignment="1"/>
    <xf numFmtId="0" fontId="25" fillId="4" borderId="0" xfId="0" applyFont="1" applyFill="1"/>
    <xf numFmtId="0" fontId="26" fillId="0" borderId="0" xfId="0" applyFont="1" applyAlignment="1">
      <alignment wrapText="1"/>
    </xf>
    <xf numFmtId="165" fontId="2" fillId="0" borderId="0" xfId="0" applyNumberFormat="1" applyFont="1"/>
    <xf numFmtId="0" fontId="27" fillId="0" borderId="0" xfId="0" applyFont="1" applyAlignment="1">
      <alignment horizontal="center"/>
    </xf>
    <xf numFmtId="165" fontId="28" fillId="0" borderId="0" xfId="0" applyNumberFormat="1" applyFont="1"/>
    <xf numFmtId="0" fontId="28" fillId="0" borderId="0" xfId="0" applyFont="1"/>
    <xf numFmtId="165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30" fillId="0" borderId="0" xfId="0" applyFont="1"/>
    <xf numFmtId="3" fontId="30" fillId="0" borderId="0" xfId="0" applyNumberFormat="1" applyFont="1"/>
    <xf numFmtId="165" fontId="30" fillId="0" borderId="0" xfId="0" applyNumberFormat="1" applyFont="1"/>
    <xf numFmtId="1" fontId="30" fillId="0" borderId="0" xfId="0" applyNumberFormat="1" applyFont="1"/>
    <xf numFmtId="165" fontId="27" fillId="0" borderId="0" xfId="0" applyNumberFormat="1" applyFont="1"/>
    <xf numFmtId="0" fontId="29" fillId="0" borderId="0" xfId="0" applyFont="1"/>
    <xf numFmtId="165" fontId="27" fillId="0" borderId="3" xfId="0" applyNumberFormat="1" applyFont="1" applyBorder="1"/>
    <xf numFmtId="167" fontId="30" fillId="0" borderId="3" xfId="0" applyNumberFormat="1" applyFont="1" applyBorder="1"/>
    <xf numFmtId="166" fontId="30" fillId="0" borderId="3" xfId="0" applyNumberFormat="1" applyFont="1" applyBorder="1"/>
    <xf numFmtId="2" fontId="30" fillId="0" borderId="3" xfId="0" applyNumberFormat="1" applyFont="1" applyBorder="1"/>
    <xf numFmtId="0" fontId="30" fillId="0" borderId="3" xfId="0" applyFont="1" applyBorder="1"/>
    <xf numFmtId="1" fontId="30" fillId="0" borderId="3" xfId="0" applyNumberFormat="1" applyFont="1" applyBorder="1"/>
    <xf numFmtId="3" fontId="27" fillId="0" borderId="3" xfId="0" applyNumberFormat="1" applyFont="1" applyBorder="1"/>
    <xf numFmtId="165" fontId="27" fillId="0" borderId="5" xfId="0" applyNumberFormat="1" applyFont="1" applyBorder="1"/>
    <xf numFmtId="167" fontId="30" fillId="0" borderId="5" xfId="0" applyNumberFormat="1" applyFont="1" applyBorder="1"/>
    <xf numFmtId="2" fontId="30" fillId="0" borderId="5" xfId="0" applyNumberFormat="1" applyFont="1" applyBorder="1"/>
    <xf numFmtId="0" fontId="30" fillId="0" borderId="5" xfId="0" applyFont="1" applyBorder="1"/>
    <xf numFmtId="1" fontId="30" fillId="0" borderId="5" xfId="0" applyNumberFormat="1" applyFont="1" applyBorder="1"/>
    <xf numFmtId="168" fontId="27" fillId="0" borderId="5" xfId="0" applyNumberFormat="1" applyFont="1" applyBorder="1"/>
    <xf numFmtId="167" fontId="30" fillId="0" borderId="0" xfId="0" applyNumberFormat="1" applyFont="1"/>
    <xf numFmtId="2" fontId="30" fillId="0" borderId="0" xfId="0" applyNumberFormat="1" applyFont="1"/>
    <xf numFmtId="166" fontId="30" fillId="0" borderId="0" xfId="0" applyNumberFormat="1" applyFont="1"/>
    <xf numFmtId="167" fontId="31" fillId="0" borderId="0" xfId="0" applyNumberFormat="1" applyFont="1"/>
    <xf numFmtId="2" fontId="32" fillId="0" borderId="0" xfId="0" applyNumberFormat="1" applyFont="1"/>
    <xf numFmtId="166" fontId="27" fillId="0" borderId="0" xfId="0" applyNumberFormat="1" applyFont="1"/>
    <xf numFmtId="166" fontId="28" fillId="0" borderId="0" xfId="0" applyNumberFormat="1" applyFont="1"/>
    <xf numFmtId="8" fontId="28" fillId="0" borderId="0" xfId="0" applyNumberFormat="1" applyFont="1"/>
    <xf numFmtId="3" fontId="28" fillId="0" borderId="0" xfId="0" applyNumberFormat="1" applyFont="1"/>
    <xf numFmtId="0" fontId="33" fillId="0" borderId="0" xfId="0" applyFont="1"/>
    <xf numFmtId="166" fontId="2" fillId="0" borderId="3" xfId="0" applyNumberFormat="1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1" fontId="2" fillId="0" borderId="3" xfId="0" applyNumberFormat="1" applyFont="1" applyBorder="1"/>
    <xf numFmtId="166" fontId="34" fillId="0" borderId="3" xfId="0" applyNumberFormat="1" applyFont="1" applyBorder="1"/>
    <xf numFmtId="0" fontId="11" fillId="0" borderId="3" xfId="0" applyFont="1" applyBorder="1"/>
    <xf numFmtId="166" fontId="2" fillId="0" borderId="0" xfId="0" applyNumberFormat="1" applyFont="1"/>
    <xf numFmtId="0" fontId="11" fillId="0" borderId="0" xfId="0" applyFont="1"/>
    <xf numFmtId="165" fontId="15" fillId="0" borderId="0" xfId="0" applyNumberFormat="1" applyFont="1"/>
    <xf numFmtId="166" fontId="35" fillId="0" borderId="0" xfId="0" applyNumberFormat="1" applyFont="1"/>
    <xf numFmtId="0" fontId="29" fillId="0" borderId="0" xfId="0" applyFont="1" applyAlignment="1">
      <alignment wrapText="1"/>
    </xf>
    <xf numFmtId="2" fontId="33" fillId="0" borderId="0" xfId="0" applyNumberFormat="1" applyFont="1"/>
    <xf numFmtId="6" fontId="3" fillId="0" borderId="0" xfId="0" applyNumberFormat="1" applyFont="1"/>
    <xf numFmtId="6" fontId="29" fillId="0" borderId="0" xfId="0" applyNumberFormat="1" applyFont="1"/>
    <xf numFmtId="166" fontId="29" fillId="0" borderId="0" xfId="0" applyNumberFormat="1" applyFont="1"/>
    <xf numFmtId="0" fontId="30" fillId="0" borderId="0" xfId="0" applyFont="1" applyAlignment="1">
      <alignment horizontal="right"/>
    </xf>
    <xf numFmtId="165" fontId="36" fillId="0" borderId="0" xfId="0" applyNumberFormat="1" applyFont="1"/>
    <xf numFmtId="0" fontId="29" fillId="0" borderId="3" xfId="0" applyFont="1" applyBorder="1"/>
    <xf numFmtId="0" fontId="28" fillId="0" borderId="3" xfId="0" applyFont="1" applyBorder="1"/>
    <xf numFmtId="166" fontId="29" fillId="0" borderId="3" xfId="0" applyNumberFormat="1" applyFont="1" applyBorder="1"/>
    <xf numFmtId="166" fontId="29" fillId="0" borderId="0" xfId="0" applyNumberFormat="1" applyFont="1" applyAlignment="1">
      <alignment horizontal="center"/>
    </xf>
    <xf numFmtId="0" fontId="29" fillId="0" borderId="3" xfId="0" applyFont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Font="1"/>
    <xf numFmtId="2" fontId="28" fillId="0" borderId="0" xfId="0" applyNumberFormat="1" applyFont="1" applyAlignment="1">
      <alignment horizontal="center"/>
    </xf>
    <xf numFmtId="164" fontId="28" fillId="0" borderId="3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165" fontId="28" fillId="0" borderId="3" xfId="0" applyNumberFormat="1" applyFont="1" applyBorder="1" applyAlignment="1">
      <alignment horizontal="right"/>
    </xf>
    <xf numFmtId="164" fontId="29" fillId="0" borderId="0" xfId="0" applyNumberFormat="1" applyFont="1"/>
    <xf numFmtId="165" fontId="3" fillId="0" borderId="0" xfId="0" applyNumberFormat="1" applyFont="1"/>
    <xf numFmtId="0" fontId="3" fillId="0" borderId="0" xfId="0" applyFont="1"/>
    <xf numFmtId="165" fontId="0" fillId="0" borderId="0" xfId="0" applyNumberFormat="1" applyFont="1"/>
    <xf numFmtId="165" fontId="37" fillId="0" borderId="0" xfId="0" applyNumberFormat="1" applyFont="1"/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8" fillId="0" borderId="9" xfId="0" applyFont="1" applyBorder="1"/>
    <xf numFmtId="0" fontId="9" fillId="0" borderId="9" xfId="0" applyFont="1" applyBorder="1" applyAlignment="1">
      <alignment horizontal="center" wrapText="1"/>
    </xf>
    <xf numFmtId="0" fontId="10" fillId="0" borderId="9" xfId="0" applyFont="1" applyBorder="1"/>
    <xf numFmtId="164" fontId="11" fillId="0" borderId="9" xfId="0" applyNumberFormat="1" applyFont="1" applyBorder="1"/>
    <xf numFmtId="3" fontId="11" fillId="0" borderId="9" xfId="0" applyNumberFormat="1" applyFont="1" applyBorder="1"/>
    <xf numFmtId="164" fontId="11" fillId="0" borderId="9" xfId="0" applyNumberFormat="1" applyFont="1" applyBorder="1" applyAlignment="1"/>
    <xf numFmtId="3" fontId="11" fillId="0" borderId="9" xfId="0" applyNumberFormat="1" applyFont="1" applyBorder="1" applyAlignment="1"/>
    <xf numFmtId="0" fontId="0" fillId="0" borderId="0" xfId="0" applyAlignment="1"/>
    <xf numFmtId="3" fontId="10" fillId="0" borderId="0" xfId="0" applyNumberFormat="1" applyFont="1"/>
    <xf numFmtId="3" fontId="0" fillId="0" borderId="0" xfId="0" applyNumberFormat="1" applyFont="1" applyAlignment="1"/>
    <xf numFmtId="0" fontId="28" fillId="5" borderId="0" xfId="0" applyFont="1" applyFill="1"/>
    <xf numFmtId="0" fontId="29" fillId="5" borderId="0" xfId="0" applyFont="1" applyFill="1"/>
    <xf numFmtId="164" fontId="28" fillId="5" borderId="0" xfId="0" applyNumberFormat="1" applyFont="1" applyFill="1" applyAlignment="1">
      <alignment horizontal="center"/>
    </xf>
    <xf numFmtId="166" fontId="30" fillId="5" borderId="0" xfId="0" applyNumberFormat="1" applyFont="1" applyFill="1"/>
    <xf numFmtId="0" fontId="29" fillId="5" borderId="0" xfId="0" applyFont="1" applyFill="1" applyAlignment="1">
      <alignment horizontal="center"/>
    </xf>
    <xf numFmtId="165" fontId="28" fillId="5" borderId="0" xfId="0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/>
    </xf>
    <xf numFmtId="0" fontId="0" fillId="5" borderId="0" xfId="0" applyFont="1" applyFill="1"/>
    <xf numFmtId="165" fontId="2" fillId="5" borderId="0" xfId="0" applyNumberFormat="1" applyFont="1" applyFill="1"/>
    <xf numFmtId="0" fontId="28" fillId="5" borderId="0" xfId="0" applyFont="1" applyFill="1" applyAlignment="1">
      <alignment horizontal="center"/>
    </xf>
    <xf numFmtId="166" fontId="28" fillId="5" borderId="0" xfId="0" applyNumberFormat="1" applyFont="1" applyFill="1"/>
    <xf numFmtId="0" fontId="10" fillId="5" borderId="0" xfId="0" applyFont="1" applyFill="1"/>
    <xf numFmtId="0" fontId="39" fillId="0" borderId="0" xfId="0" applyFont="1"/>
    <xf numFmtId="0" fontId="10" fillId="5" borderId="0" xfId="0" applyFont="1" applyFill="1" applyAlignment="1"/>
    <xf numFmtId="0" fontId="39" fillId="5" borderId="0" xfId="0" applyFont="1" applyFill="1"/>
    <xf numFmtId="3" fontId="11" fillId="5" borderId="0" xfId="0" applyNumberFormat="1" applyFont="1" applyFill="1"/>
    <xf numFmtId="0" fontId="10" fillId="5" borderId="9" xfId="0" applyFont="1" applyFill="1" applyBorder="1" applyAlignment="1"/>
    <xf numFmtId="3" fontId="11" fillId="0" borderId="0" xfId="0" applyNumberFormat="1" applyFont="1" applyFill="1" applyAlignment="1"/>
    <xf numFmtId="0" fontId="38" fillId="5" borderId="0" xfId="0" applyFont="1" applyFill="1" applyAlignment="1"/>
    <xf numFmtId="3" fontId="1" fillId="0" borderId="0" xfId="0" applyNumberFormat="1" applyFont="1" applyAlignment="1"/>
    <xf numFmtId="0" fontId="10" fillId="5" borderId="9" xfId="0" applyFont="1" applyFill="1" applyBorder="1"/>
    <xf numFmtId="0" fontId="39" fillId="5" borderId="0" xfId="0" applyFont="1" applyFill="1" applyAlignment="1"/>
    <xf numFmtId="3" fontId="11" fillId="6" borderId="0" xfId="0" applyNumberFormat="1" applyFont="1" applyFill="1" applyAlignment="1"/>
    <xf numFmtId="3" fontId="11" fillId="6" borderId="0" xfId="0" applyNumberFormat="1" applyFont="1" applyFill="1"/>
    <xf numFmtId="3" fontId="13" fillId="6" borderId="0" xfId="0" applyNumberFormat="1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tabSelected="1" workbookViewId="0">
      <selection activeCell="M8" sqref="M8"/>
    </sheetView>
  </sheetViews>
  <sheetFormatPr defaultColWidth="12.625" defaultRowHeight="15" customHeight="1"/>
  <cols>
    <col min="1" max="26" width="7.625" customWidth="1"/>
  </cols>
  <sheetData>
    <row r="1" spans="1:11" ht="14.2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4.25" customHeight="1">
      <c r="A2" s="160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4.25" customHeight="1">
      <c r="A3" s="1"/>
      <c r="B3" s="2" t="s">
        <v>2</v>
      </c>
      <c r="C3" s="2" t="s">
        <v>3</v>
      </c>
      <c r="D3" s="2"/>
      <c r="E3" s="2"/>
      <c r="F3" s="2"/>
      <c r="G3" s="2"/>
      <c r="H3" s="2"/>
      <c r="I3" s="158" t="s">
        <v>311</v>
      </c>
      <c r="J3" s="159"/>
      <c r="K3" s="159"/>
    </row>
    <row r="4" spans="1:11" ht="14.25" customHeight="1">
      <c r="A4" s="2"/>
      <c r="B4" s="2"/>
      <c r="C4" s="2" t="s">
        <v>4</v>
      </c>
      <c r="D4" s="3"/>
      <c r="E4" s="2"/>
      <c r="F4" s="2"/>
      <c r="G4" s="2"/>
      <c r="H4" s="2"/>
      <c r="I4" s="2"/>
      <c r="J4" s="2"/>
      <c r="K4" s="2"/>
    </row>
    <row r="5" spans="1:11" ht="27.95" customHeight="1">
      <c r="A5" s="3"/>
      <c r="B5" s="2"/>
      <c r="C5" s="2"/>
      <c r="D5" s="2"/>
      <c r="E5" s="2"/>
      <c r="F5" s="2"/>
      <c r="G5" s="2"/>
      <c r="H5" s="2"/>
      <c r="I5" s="4" t="s">
        <v>5</v>
      </c>
      <c r="J5" s="5">
        <v>44378</v>
      </c>
      <c r="K5" s="4" t="s">
        <v>312</v>
      </c>
    </row>
    <row r="6" spans="1:11" ht="18.600000000000001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</row>
    <row r="7" spans="1:11" ht="14.25" customHeight="1">
      <c r="A7" s="8">
        <v>1</v>
      </c>
      <c r="B7" s="9">
        <v>1400</v>
      </c>
      <c r="C7" s="10" t="s">
        <v>17</v>
      </c>
      <c r="D7" s="11">
        <v>0</v>
      </c>
      <c r="E7" s="11">
        <v>0</v>
      </c>
      <c r="F7" s="11">
        <v>0</v>
      </c>
      <c r="G7" s="11">
        <v>0</v>
      </c>
      <c r="H7" s="11"/>
      <c r="I7" s="11"/>
      <c r="J7" s="12"/>
      <c r="K7" s="11">
        <v>0</v>
      </c>
    </row>
    <row r="8" spans="1:11" ht="14.25" customHeight="1">
      <c r="A8" s="8">
        <v>2</v>
      </c>
      <c r="B8" s="9">
        <v>2110</v>
      </c>
      <c r="C8" s="10" t="s">
        <v>18</v>
      </c>
      <c r="D8" s="11">
        <f>SSW!G26</f>
        <v>923782.24200000009</v>
      </c>
      <c r="E8" s="11">
        <f>SSW!G27</f>
        <v>231634.34071980004</v>
      </c>
      <c r="F8" s="11">
        <f>SSW!G28</f>
        <v>55220.784572999997</v>
      </c>
      <c r="G8" s="11">
        <f>SSW!G29</f>
        <v>10000</v>
      </c>
      <c r="H8" s="11">
        <f>SSW!G30</f>
        <v>4800</v>
      </c>
      <c r="I8" s="11">
        <v>0</v>
      </c>
      <c r="J8" s="12"/>
      <c r="K8" s="11">
        <f t="shared" ref="K8:K30" si="0">SUM(D8:J8)</f>
        <v>1225437.3672928</v>
      </c>
    </row>
    <row r="9" spans="1:11" ht="14.25" customHeight="1">
      <c r="A9" s="8">
        <v>3</v>
      </c>
      <c r="B9" s="9">
        <v>2120</v>
      </c>
      <c r="C9" s="10" t="s">
        <v>19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2"/>
      <c r="K9" s="11">
        <f t="shared" si="0"/>
        <v>0</v>
      </c>
    </row>
    <row r="10" spans="1:11" ht="14.25" customHeight="1">
      <c r="A10" s="8">
        <v>4</v>
      </c>
      <c r="B10" s="9">
        <v>2130</v>
      </c>
      <c r="C10" s="10" t="s">
        <v>20</v>
      </c>
      <c r="D10" s="11">
        <f>OTPT!G26</f>
        <v>314684.18000000005</v>
      </c>
      <c r="E10" s="11">
        <f>OTPT!G27</f>
        <v>118595.57272</v>
      </c>
      <c r="F10" s="11">
        <f>OTPT!G28</f>
        <v>385235.05517000001</v>
      </c>
      <c r="G10" s="11">
        <f>OTPT!G29</f>
        <v>1600</v>
      </c>
      <c r="H10" s="11">
        <f>OTPT!G30</f>
        <v>3600</v>
      </c>
      <c r="I10" s="11">
        <v>0</v>
      </c>
      <c r="J10" s="12"/>
      <c r="K10" s="11">
        <f t="shared" si="0"/>
        <v>823714.80789000005</v>
      </c>
    </row>
    <row r="11" spans="1:11" ht="14.25" customHeight="1">
      <c r="A11" s="8">
        <v>5</v>
      </c>
      <c r="B11" s="9">
        <v>2140</v>
      </c>
      <c r="C11" s="10" t="s">
        <v>21</v>
      </c>
      <c r="D11" s="11">
        <f>psych!G26</f>
        <v>767454.6825</v>
      </c>
      <c r="E11" s="11">
        <f>psych!G27</f>
        <v>174878.75262175</v>
      </c>
      <c r="F11" s="11">
        <f>psych!G28</f>
        <v>68570.255436250009</v>
      </c>
      <c r="G11" s="11">
        <f>psych!G29</f>
        <v>14000</v>
      </c>
      <c r="H11" s="11">
        <f>psych!G30</f>
        <v>3600</v>
      </c>
      <c r="I11" s="11">
        <v>0</v>
      </c>
      <c r="J11" s="12"/>
      <c r="K11" s="11">
        <f t="shared" si="0"/>
        <v>1028503.690558</v>
      </c>
    </row>
    <row r="12" spans="1:11" ht="14.25" customHeight="1">
      <c r="A12" s="8">
        <v>6</v>
      </c>
      <c r="B12" s="9">
        <v>2150</v>
      </c>
      <c r="C12" s="10" t="s">
        <v>22</v>
      </c>
      <c r="D12" s="11">
        <f>slp!G26</f>
        <v>348173.80000000005</v>
      </c>
      <c r="E12" s="11">
        <f>slp!G27</f>
        <v>87374.444220000005</v>
      </c>
      <c r="F12" s="11">
        <f>slp!G28</f>
        <v>27098.329700000002</v>
      </c>
      <c r="G12" s="11">
        <f>slp!G29</f>
        <v>2000</v>
      </c>
      <c r="H12" s="11">
        <f>slp!G30</f>
        <v>2400</v>
      </c>
      <c r="I12" s="11">
        <v>0</v>
      </c>
      <c r="J12" s="12"/>
      <c r="K12" s="11">
        <f t="shared" si="0"/>
        <v>467046.57392000005</v>
      </c>
    </row>
    <row r="13" spans="1:11" ht="14.25" customHeight="1">
      <c r="A13" s="8">
        <v>7</v>
      </c>
      <c r="B13" s="9">
        <v>2210</v>
      </c>
      <c r="C13" s="10" t="s">
        <v>23</v>
      </c>
      <c r="D13" s="11">
        <v>0</v>
      </c>
      <c r="E13" s="11">
        <v>0</v>
      </c>
      <c r="F13" s="11">
        <f>'prof dev'!B32</f>
        <v>53500</v>
      </c>
      <c r="G13" s="11">
        <f>'prof dev'!B33</f>
        <v>14738</v>
      </c>
      <c r="H13" s="11">
        <f>'prof dev'!B34</f>
        <v>3000</v>
      </c>
      <c r="I13" s="11">
        <v>0</v>
      </c>
      <c r="J13" s="12"/>
      <c r="K13" s="11">
        <f t="shared" si="0"/>
        <v>71238</v>
      </c>
    </row>
    <row r="14" spans="1:11" ht="14.25" customHeight="1">
      <c r="A14" s="8">
        <v>8</v>
      </c>
      <c r="B14" s="9">
        <v>2220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/>
      <c r="K14" s="11">
        <f t="shared" si="0"/>
        <v>0</v>
      </c>
    </row>
    <row r="15" spans="1:11" ht="14.25" customHeight="1">
      <c r="A15" s="8">
        <v>9</v>
      </c>
      <c r="B15" s="9">
        <v>2290</v>
      </c>
      <c r="C15" s="10" t="s">
        <v>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/>
      <c r="K15" s="11">
        <f t="shared" si="0"/>
        <v>0</v>
      </c>
    </row>
    <row r="16" spans="1:11" ht="14.25" customHeight="1">
      <c r="A16" s="8">
        <v>10</v>
      </c>
      <c r="B16" s="9">
        <v>2300</v>
      </c>
      <c r="C16" s="10" t="s">
        <v>26</v>
      </c>
      <c r="D16" s="11">
        <f>exec!G26</f>
        <v>160048.20000000001</v>
      </c>
      <c r="E16" s="11">
        <f>exec!G27</f>
        <v>21176.35758</v>
      </c>
      <c r="F16" s="11">
        <f>exec!G28</f>
        <v>51482.313300000002</v>
      </c>
      <c r="G16" s="11">
        <f>exec!G29</f>
        <v>9250</v>
      </c>
      <c r="H16" s="11">
        <f>exec!G30</f>
        <v>5500</v>
      </c>
      <c r="I16" s="11">
        <v>0</v>
      </c>
      <c r="J16" s="12"/>
      <c r="K16" s="11">
        <f t="shared" si="0"/>
        <v>247456.87088000003</v>
      </c>
    </row>
    <row r="17" spans="1:11" ht="14.25" customHeight="1">
      <c r="A17" s="8">
        <v>12</v>
      </c>
      <c r="B17" s="9">
        <v>2510</v>
      </c>
      <c r="C17" s="10" t="s">
        <v>27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/>
      <c r="K17" s="11">
        <f t="shared" si="0"/>
        <v>0</v>
      </c>
    </row>
    <row r="18" spans="1:11" ht="14.25" customHeight="1">
      <c r="A18" s="8">
        <v>13</v>
      </c>
      <c r="B18" s="9">
        <v>2520</v>
      </c>
      <c r="C18" s="10" t="s">
        <v>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/>
      <c r="K18" s="11">
        <f t="shared" si="0"/>
        <v>0</v>
      </c>
    </row>
    <row r="19" spans="1:11" ht="14.25" customHeight="1">
      <c r="A19" s="8">
        <v>14</v>
      </c>
      <c r="B19" s="9">
        <v>2530</v>
      </c>
      <c r="C19" s="10" t="s">
        <v>29</v>
      </c>
      <c r="D19" s="11">
        <v>0</v>
      </c>
      <c r="E19" s="11">
        <v>0</v>
      </c>
      <c r="F19" s="11">
        <v>0</v>
      </c>
      <c r="G19" s="11">
        <v>0</v>
      </c>
      <c r="H19" s="13">
        <v>0</v>
      </c>
      <c r="I19" s="11">
        <v>0</v>
      </c>
      <c r="J19" s="12"/>
      <c r="K19" s="11">
        <f t="shared" si="0"/>
        <v>0</v>
      </c>
    </row>
    <row r="20" spans="1:11" ht="14.25" customHeight="1">
      <c r="A20" s="8">
        <v>15</v>
      </c>
      <c r="B20" s="9">
        <v>2540</v>
      </c>
      <c r="C20" s="10" t="s">
        <v>30</v>
      </c>
      <c r="D20" s="11">
        <f>'O &amp; M'!G17</f>
        <v>1600</v>
      </c>
      <c r="E20" s="11">
        <f>'O &amp; M'!G18</f>
        <v>326.39999999999998</v>
      </c>
      <c r="F20" s="11">
        <f>'O &amp; M'!G19</f>
        <v>54850</v>
      </c>
      <c r="G20" s="11">
        <f>'O &amp; M'!G20</f>
        <v>18200</v>
      </c>
      <c r="H20" s="11">
        <f>'O &amp; M'!G21</f>
        <v>0</v>
      </c>
      <c r="I20" s="11">
        <v>0</v>
      </c>
      <c r="J20" s="12"/>
      <c r="K20" s="11">
        <f t="shared" si="0"/>
        <v>74976.399999999994</v>
      </c>
    </row>
    <row r="21" spans="1:11" ht="14.25" customHeight="1">
      <c r="A21" s="8">
        <v>18</v>
      </c>
      <c r="B21" s="9">
        <v>2570</v>
      </c>
      <c r="C21" s="10" t="s">
        <v>31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/>
      <c r="K21" s="11">
        <f t="shared" si="0"/>
        <v>0</v>
      </c>
    </row>
    <row r="22" spans="1:11" ht="14.25" customHeight="1">
      <c r="A22" s="8">
        <v>19</v>
      </c>
      <c r="B22" s="9">
        <v>2610</v>
      </c>
      <c r="C22" s="10" t="s">
        <v>32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2"/>
      <c r="K22" s="11">
        <f t="shared" si="0"/>
        <v>0</v>
      </c>
    </row>
    <row r="23" spans="1:11" ht="14.25" customHeight="1">
      <c r="A23" s="8">
        <v>20</v>
      </c>
      <c r="B23" s="9">
        <v>2620</v>
      </c>
      <c r="C23" s="10" t="s">
        <v>33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/>
      <c r="K23" s="11">
        <f t="shared" si="0"/>
        <v>0</v>
      </c>
    </row>
    <row r="24" spans="1:11" ht="14.25" customHeight="1">
      <c r="A24" s="8">
        <v>21</v>
      </c>
      <c r="B24" s="9">
        <v>2630</v>
      </c>
      <c r="C24" s="10" t="s">
        <v>34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2"/>
      <c r="K24" s="11">
        <f t="shared" si="0"/>
        <v>0</v>
      </c>
    </row>
    <row r="25" spans="1:11" ht="14.25" customHeight="1">
      <c r="A25" s="8">
        <v>22</v>
      </c>
      <c r="B25" s="9">
        <v>2640</v>
      </c>
      <c r="C25" s="10" t="s">
        <v>35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2"/>
      <c r="K25" s="11">
        <f t="shared" si="0"/>
        <v>0</v>
      </c>
    </row>
    <row r="26" spans="1:11" ht="14.25" customHeight="1">
      <c r="A26" s="8">
        <v>23</v>
      </c>
      <c r="B26" s="9">
        <v>2660</v>
      </c>
      <c r="C26" s="10" t="s">
        <v>36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/>
      <c r="K26" s="11">
        <f t="shared" si="0"/>
        <v>0</v>
      </c>
    </row>
    <row r="27" spans="1:11" ht="14.25" customHeight="1">
      <c r="A27" s="8">
        <v>24</v>
      </c>
      <c r="B27" s="9">
        <v>2900</v>
      </c>
      <c r="C27" s="10" t="s">
        <v>37</v>
      </c>
      <c r="D27" s="11">
        <f>'admin asst'!G26+TAS!G24</f>
        <v>639367.12</v>
      </c>
      <c r="E27" s="11">
        <f>'admin asst'!G27+TAS!G25</f>
        <v>201290.59643199999</v>
      </c>
      <c r="F27" s="11">
        <f>'admin asst'!G28+TAS!G26</f>
        <v>100757.28628</v>
      </c>
      <c r="G27" s="11">
        <f>'admin asst'!G29+TAS!G27</f>
        <v>8000</v>
      </c>
      <c r="H27" s="11">
        <f>'admin asst'!G30+TAS!G28</f>
        <v>6500</v>
      </c>
      <c r="I27" s="11">
        <v>0</v>
      </c>
      <c r="J27" s="12"/>
      <c r="K27" s="11">
        <f t="shared" si="0"/>
        <v>955915.00271200004</v>
      </c>
    </row>
    <row r="28" spans="1:11" ht="14.25" customHeight="1">
      <c r="A28" s="8">
        <v>25</v>
      </c>
      <c r="B28" s="9">
        <v>3000</v>
      </c>
      <c r="C28" s="10" t="s">
        <v>38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2"/>
      <c r="K28" s="11">
        <f t="shared" si="0"/>
        <v>0</v>
      </c>
    </row>
    <row r="29" spans="1:11" ht="14.25" customHeight="1">
      <c r="A29" s="8">
        <v>26</v>
      </c>
      <c r="B29" s="9">
        <v>5310</v>
      </c>
      <c r="C29" s="10" t="s">
        <v>39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/>
      <c r="K29" s="11">
        <f t="shared" si="0"/>
        <v>0</v>
      </c>
    </row>
    <row r="30" spans="1:11" ht="14.25" customHeight="1">
      <c r="A30" s="8">
        <v>27</v>
      </c>
      <c r="B30" s="9">
        <v>4100</v>
      </c>
      <c r="C30" s="10" t="s">
        <v>40</v>
      </c>
      <c r="D30" s="12"/>
      <c r="E30" s="12"/>
      <c r="F30" s="11">
        <f>Other!C14</f>
        <v>115526</v>
      </c>
      <c r="G30" s="12"/>
      <c r="H30" s="12"/>
      <c r="I30" s="11"/>
      <c r="J30" s="11"/>
      <c r="K30" s="11">
        <f t="shared" si="0"/>
        <v>115526</v>
      </c>
    </row>
    <row r="31" spans="1:11" ht="14.25" customHeight="1">
      <c r="A31" s="8">
        <v>28</v>
      </c>
      <c r="B31" s="14" t="s">
        <v>41</v>
      </c>
      <c r="C31" s="3"/>
      <c r="D31" s="11">
        <f t="shared" ref="D31:I31" si="1">SUM(D7:D30)</f>
        <v>3155110.2245000005</v>
      </c>
      <c r="E31" s="11">
        <f t="shared" si="1"/>
        <v>835276.46429355</v>
      </c>
      <c r="F31" s="11">
        <f t="shared" si="1"/>
        <v>912240.02445925004</v>
      </c>
      <c r="G31" s="11">
        <f t="shared" si="1"/>
        <v>77788</v>
      </c>
      <c r="H31" s="11">
        <f t="shared" si="1"/>
        <v>29400</v>
      </c>
      <c r="I31" s="11">
        <f t="shared" si="1"/>
        <v>0</v>
      </c>
      <c r="J31" s="11">
        <v>0</v>
      </c>
      <c r="K31" s="11">
        <f>SUM(K7:K30)</f>
        <v>5009814.7132527996</v>
      </c>
    </row>
    <row r="32" spans="1:11" ht="14.25" customHeight="1">
      <c r="A32" s="8">
        <v>29</v>
      </c>
      <c r="B32" s="14" t="s">
        <v>42</v>
      </c>
      <c r="C32" s="3"/>
      <c r="D32" s="15"/>
      <c r="E32" s="16"/>
      <c r="F32" s="16"/>
      <c r="G32" s="16"/>
      <c r="H32" s="16"/>
      <c r="I32" s="16"/>
      <c r="J32" s="16"/>
      <c r="K32" s="17"/>
    </row>
    <row r="33" spans="1:11" ht="14.25" customHeight="1">
      <c r="A33" s="8">
        <v>30</v>
      </c>
      <c r="B33" s="14" t="s">
        <v>43</v>
      </c>
      <c r="C33" s="3"/>
      <c r="D33" s="15"/>
      <c r="E33" s="16"/>
      <c r="F33" s="16"/>
      <c r="G33" s="16"/>
      <c r="H33" s="16"/>
      <c r="I33" s="16"/>
      <c r="J33" s="18"/>
      <c r="K33" s="11">
        <f>SUM(D31:J31)</f>
        <v>5009814.7132528005</v>
      </c>
    </row>
    <row r="34" spans="1:11" ht="14.25" customHeight="1"/>
    <row r="35" spans="1:11" ht="14.25" customHeight="1"/>
    <row r="36" spans="1:11" ht="14.25" customHeight="1"/>
    <row r="37" spans="1:11" ht="14.25" customHeight="1"/>
    <row r="38" spans="1:11" ht="14.25" customHeight="1"/>
    <row r="39" spans="1:11" ht="14.25" customHeight="1"/>
    <row r="40" spans="1:11" ht="14.25" customHeight="1"/>
    <row r="41" spans="1:11" ht="14.25" customHeight="1"/>
    <row r="42" spans="1:11" ht="14.25" customHeight="1"/>
    <row r="43" spans="1:11" ht="14.25" customHeight="1"/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K1"/>
    <mergeCell ref="A2:K2"/>
    <mergeCell ref="I3:K3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O17" sqref="O17"/>
    </sheetView>
  </sheetViews>
  <sheetFormatPr defaultColWidth="12.625" defaultRowHeight="15" customHeight="1"/>
  <cols>
    <col min="1" max="1" width="16.375" customWidth="1"/>
    <col min="2" max="2" width="3.75" customWidth="1"/>
    <col min="3" max="3" width="8.875" customWidth="1"/>
    <col min="4" max="4" width="7" customWidth="1"/>
    <col min="5" max="5" width="8.75" customWidth="1"/>
    <col min="6" max="6" width="9.375" customWidth="1"/>
    <col min="7" max="7" width="9.87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93</v>
      </c>
      <c r="E1" s="20" t="s">
        <v>48</v>
      </c>
      <c r="F1" s="20" t="s">
        <v>53</v>
      </c>
      <c r="G1" s="20" t="s">
        <v>54</v>
      </c>
      <c r="H1" s="20" t="s">
        <v>94</v>
      </c>
      <c r="I1" s="20" t="s">
        <v>55</v>
      </c>
      <c r="J1" s="19"/>
      <c r="K1" s="19"/>
      <c r="L1" s="41" t="s">
        <v>69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4" t="s">
        <v>262</v>
      </c>
      <c r="B2" s="22">
        <v>1</v>
      </c>
      <c r="C2" s="24">
        <f>50119*1.04</f>
        <v>52123.76</v>
      </c>
      <c r="D2" s="24">
        <v>0</v>
      </c>
      <c r="E2" s="24">
        <f t="shared" ref="E2:E21" si="0">D2+C2</f>
        <v>52123.76</v>
      </c>
      <c r="F2" s="24">
        <f>E2*L29</f>
        <v>755.79452000000003</v>
      </c>
      <c r="G2" s="24">
        <f>E2*L30</f>
        <v>3231.6731199999999</v>
      </c>
      <c r="H2" s="24">
        <f>E2*L32</f>
        <v>6645.7794000000004</v>
      </c>
      <c r="I2" s="24">
        <v>8000</v>
      </c>
      <c r="J2" s="24" t="s">
        <v>69</v>
      </c>
      <c r="K2" s="24"/>
      <c r="L2" s="24"/>
      <c r="M2" s="24"/>
    </row>
    <row r="3" spans="1:26" ht="14.25" customHeight="1">
      <c r="A3" s="144" t="s">
        <v>263</v>
      </c>
      <c r="B3" s="22">
        <v>1</v>
      </c>
      <c r="C3" s="24">
        <f>39691*1.04</f>
        <v>41278.639999999999</v>
      </c>
      <c r="D3" s="24">
        <v>0</v>
      </c>
      <c r="E3" s="24">
        <f t="shared" si="0"/>
        <v>41278.639999999999</v>
      </c>
      <c r="F3" s="24">
        <f>E3*L29</f>
        <v>598.54028000000005</v>
      </c>
      <c r="G3" s="24">
        <f>E3*L30</f>
        <v>2559.2756799999997</v>
      </c>
      <c r="H3" s="24">
        <f>E3*L32</f>
        <v>5263.0266000000001</v>
      </c>
      <c r="I3" s="24">
        <v>8000</v>
      </c>
      <c r="J3" s="24" t="s">
        <v>69</v>
      </c>
      <c r="K3" s="24"/>
      <c r="L3" s="24"/>
      <c r="M3" s="24"/>
    </row>
    <row r="4" spans="1:26" ht="14.25" customHeight="1">
      <c r="A4" s="146" t="s">
        <v>264</v>
      </c>
      <c r="B4" s="22">
        <v>1</v>
      </c>
      <c r="C4" s="24">
        <v>22880</v>
      </c>
      <c r="D4" s="24">
        <v>0</v>
      </c>
      <c r="E4" s="24">
        <f t="shared" si="0"/>
        <v>22880</v>
      </c>
      <c r="F4" s="24">
        <f>E4*L29</f>
        <v>331.76</v>
      </c>
      <c r="G4" s="24">
        <f>E4*L30</f>
        <v>1418.56</v>
      </c>
      <c r="H4" s="24">
        <f>E4*L32</f>
        <v>2917.2000000000003</v>
      </c>
      <c r="I4" s="24">
        <v>8000</v>
      </c>
      <c r="J4" s="24" t="s">
        <v>69</v>
      </c>
      <c r="K4" s="24"/>
      <c r="L4" s="24"/>
      <c r="M4" s="24"/>
    </row>
    <row r="5" spans="1:26" ht="14.25" customHeight="1">
      <c r="A5" s="144" t="s">
        <v>265</v>
      </c>
      <c r="B5" s="22">
        <v>0.92</v>
      </c>
      <c r="C5" s="24">
        <f>27023*1.04</f>
        <v>28103.920000000002</v>
      </c>
      <c r="D5" s="24">
        <v>0</v>
      </c>
      <c r="E5" s="24">
        <f t="shared" si="0"/>
        <v>28103.920000000002</v>
      </c>
      <c r="F5" s="24">
        <f>E5*L29</f>
        <v>407.50684000000007</v>
      </c>
      <c r="G5" s="24">
        <f>E5*L30</f>
        <v>1742.4430400000001</v>
      </c>
      <c r="H5" s="24">
        <f>E5*L32</f>
        <v>3583.2498000000005</v>
      </c>
      <c r="I5" s="24">
        <v>8000</v>
      </c>
      <c r="J5" s="24" t="s">
        <v>69</v>
      </c>
      <c r="K5" s="24"/>
      <c r="L5" s="24"/>
      <c r="M5" s="24"/>
    </row>
    <row r="6" spans="1:26" ht="14.25" customHeight="1">
      <c r="A6" s="144" t="s">
        <v>266</v>
      </c>
      <c r="B6" s="22">
        <v>1</v>
      </c>
      <c r="C6" s="24">
        <f>25398*1.04</f>
        <v>26413.920000000002</v>
      </c>
      <c r="D6" s="24">
        <v>0</v>
      </c>
      <c r="E6" s="24">
        <f t="shared" si="0"/>
        <v>26413.920000000002</v>
      </c>
      <c r="F6" s="24">
        <f>E6*L29</f>
        <v>383.00184000000007</v>
      </c>
      <c r="G6" s="24">
        <f>E6*L30</f>
        <v>1637.6630400000001</v>
      </c>
      <c r="H6" s="24">
        <f>E6*L32</f>
        <v>3367.7748000000001</v>
      </c>
      <c r="I6" s="24">
        <v>8000</v>
      </c>
      <c r="J6" s="24" t="s">
        <v>69</v>
      </c>
      <c r="K6" s="24"/>
      <c r="L6" s="24"/>
      <c r="M6" s="24"/>
    </row>
    <row r="7" spans="1:26" ht="14.25" customHeight="1">
      <c r="A7" s="21" t="s">
        <v>69</v>
      </c>
      <c r="B7" s="22">
        <v>0</v>
      </c>
      <c r="C7" s="24">
        <v>0</v>
      </c>
      <c r="D7" s="24">
        <v>0</v>
      </c>
      <c r="E7" s="24">
        <f t="shared" si="0"/>
        <v>0</v>
      </c>
      <c r="F7" s="24">
        <f>E7*L29</f>
        <v>0</v>
      </c>
      <c r="G7" s="24">
        <f>E7*L30</f>
        <v>0</v>
      </c>
      <c r="H7" s="24">
        <f>E7*L32</f>
        <v>0</v>
      </c>
      <c r="I7" s="24">
        <v>0</v>
      </c>
      <c r="J7" s="24" t="s">
        <v>69</v>
      </c>
      <c r="K7" s="24"/>
      <c r="L7" s="24"/>
      <c r="M7" s="24"/>
    </row>
    <row r="8" spans="1:26" ht="14.25" customHeight="1">
      <c r="A8" s="154" t="s">
        <v>303</v>
      </c>
      <c r="B8" s="22">
        <v>1</v>
      </c>
      <c r="C8" s="23">
        <f>(25*1.04)*8*45</f>
        <v>9360</v>
      </c>
      <c r="D8" s="24">
        <v>0</v>
      </c>
      <c r="E8" s="24">
        <f t="shared" si="0"/>
        <v>9360</v>
      </c>
      <c r="F8" s="24">
        <f>E8*L29</f>
        <v>135.72</v>
      </c>
      <c r="G8" s="24">
        <f>E8*L30</f>
        <v>580.32000000000005</v>
      </c>
      <c r="H8" s="24">
        <f>E8*L32</f>
        <v>1193.4000000000001</v>
      </c>
      <c r="I8" s="24">
        <v>0</v>
      </c>
      <c r="J8" s="24" t="s">
        <v>69</v>
      </c>
      <c r="K8" s="24"/>
      <c r="L8" s="24"/>
      <c r="M8" s="24"/>
    </row>
    <row r="9" spans="1:26" ht="14.25" customHeight="1">
      <c r="A9" s="147" t="s">
        <v>304</v>
      </c>
      <c r="B9" s="22">
        <v>1</v>
      </c>
      <c r="C9" s="24">
        <f>40000*1.04</f>
        <v>41600</v>
      </c>
      <c r="D9" s="24">
        <v>0</v>
      </c>
      <c r="E9" s="24">
        <f t="shared" si="0"/>
        <v>41600</v>
      </c>
      <c r="F9" s="24">
        <f>E9*L29</f>
        <v>603.20000000000005</v>
      </c>
      <c r="G9" s="131">
        <f>E9*L30</f>
        <v>2579.1999999999998</v>
      </c>
      <c r="H9" s="24">
        <f>C9*L32</f>
        <v>5304</v>
      </c>
      <c r="I9" s="24">
        <v>8000</v>
      </c>
      <c r="J9" s="24" t="s">
        <v>69</v>
      </c>
      <c r="K9" s="24"/>
      <c r="L9" s="24"/>
      <c r="M9" s="24">
        <f>SUM(E9:L9)</f>
        <v>58086.399999999994</v>
      </c>
    </row>
    <row r="10" spans="1:26" ht="14.25" customHeight="1">
      <c r="A10" s="21" t="s">
        <v>316</v>
      </c>
      <c r="B10" s="22">
        <v>1</v>
      </c>
      <c r="C10" s="24">
        <v>40000</v>
      </c>
      <c r="D10" s="24">
        <v>0</v>
      </c>
      <c r="E10" s="24">
        <f t="shared" si="0"/>
        <v>40000</v>
      </c>
      <c r="F10" s="24">
        <f>E10*L29</f>
        <v>580</v>
      </c>
      <c r="G10" s="131">
        <f>E10*L30</f>
        <v>2480</v>
      </c>
      <c r="H10" s="24">
        <f>C10*L32</f>
        <v>5100</v>
      </c>
      <c r="I10" s="24">
        <v>8000</v>
      </c>
      <c r="J10" s="24">
        <f>E10+F10+G10+H10+I10</f>
        <v>56160</v>
      </c>
      <c r="K10" s="24"/>
      <c r="L10" s="24"/>
      <c r="M10" s="24"/>
    </row>
    <row r="11" spans="1:26" ht="14.25" customHeight="1">
      <c r="A11" s="21" t="s">
        <v>69</v>
      </c>
      <c r="B11" s="22">
        <v>0</v>
      </c>
      <c r="C11" s="24">
        <v>0</v>
      </c>
      <c r="D11" s="24">
        <v>0</v>
      </c>
      <c r="E11" s="24">
        <f t="shared" si="0"/>
        <v>0</v>
      </c>
      <c r="F11" s="24">
        <v>0</v>
      </c>
      <c r="G11" s="24">
        <v>0</v>
      </c>
      <c r="H11" s="24">
        <f>C11*L28</f>
        <v>0</v>
      </c>
      <c r="I11" s="24">
        <f>C11+F11+G11+H11</f>
        <v>0</v>
      </c>
      <c r="J11" s="24">
        <f>C11*L29</f>
        <v>0</v>
      </c>
      <c r="K11" s="24"/>
      <c r="L11" s="24"/>
      <c r="M11" s="24"/>
    </row>
    <row r="12" spans="1:26" ht="14.25" customHeight="1">
      <c r="A12" s="19" t="s">
        <v>100</v>
      </c>
      <c r="B12" s="43">
        <f>SUM(B2:B11)</f>
        <v>7.92</v>
      </c>
      <c r="C12" s="44">
        <f>SUM(C2:C11)</f>
        <v>261760.24000000002</v>
      </c>
      <c r="D12" s="44">
        <f>SUM(D2:D11)</f>
        <v>0</v>
      </c>
      <c r="E12" s="44">
        <f t="shared" si="0"/>
        <v>261760.24000000002</v>
      </c>
      <c r="F12" s="44">
        <f>SUM(F2:F11)</f>
        <v>3795.5234799999998</v>
      </c>
      <c r="G12" s="44">
        <f>SUM(G2:G11)</f>
        <v>16229.134879999998</v>
      </c>
      <c r="H12" s="44">
        <f>SUM(H2:H11)</f>
        <v>33374.430600000007</v>
      </c>
      <c r="I12" s="44">
        <f>B12*L31</f>
        <v>63360</v>
      </c>
      <c r="J12" s="44" t="s">
        <v>69</v>
      </c>
      <c r="K12" s="44"/>
      <c r="L12" s="24" t="s">
        <v>69</v>
      </c>
      <c r="M12" s="24"/>
    </row>
    <row r="13" spans="1:26" ht="14.25" customHeight="1">
      <c r="A13" s="21" t="s">
        <v>69</v>
      </c>
      <c r="B13" s="22">
        <v>0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v>0</v>
      </c>
      <c r="H13" s="24">
        <f>C13*L28</f>
        <v>0</v>
      </c>
      <c r="I13" s="24">
        <f>C13+F13+G13+H13</f>
        <v>0</v>
      </c>
      <c r="J13" s="24">
        <f>C13*L29</f>
        <v>0</v>
      </c>
      <c r="K13" s="24"/>
      <c r="L13" s="24"/>
      <c r="M13" s="24"/>
    </row>
    <row r="14" spans="1:26" ht="14.25" customHeight="1">
      <c r="A14" s="21" t="s">
        <v>69</v>
      </c>
      <c r="B14" s="22">
        <v>0</v>
      </c>
      <c r="C14" s="24">
        <v>0</v>
      </c>
      <c r="D14" s="24">
        <v>0</v>
      </c>
      <c r="E14" s="24">
        <f t="shared" si="0"/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/>
      <c r="M14" s="24"/>
    </row>
    <row r="15" spans="1:26" ht="14.25" customHeight="1">
      <c r="A15" s="21" t="s">
        <v>69</v>
      </c>
      <c r="B15" s="22">
        <v>0</v>
      </c>
      <c r="C15" s="24">
        <v>0</v>
      </c>
      <c r="D15" s="24"/>
      <c r="E15" s="24">
        <f t="shared" si="0"/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/>
      <c r="M15" s="24"/>
    </row>
    <row r="16" spans="1:26" ht="14.25" customHeight="1">
      <c r="A16" s="21" t="s">
        <v>69</v>
      </c>
      <c r="B16" s="22">
        <v>0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</row>
    <row r="17" spans="1:13" ht="14.25" customHeight="1">
      <c r="A17" s="21" t="s">
        <v>69</v>
      </c>
      <c r="B17" s="22">
        <v>0</v>
      </c>
      <c r="C17" s="24">
        <v>0</v>
      </c>
      <c r="D17" s="30"/>
      <c r="E17" s="24">
        <f t="shared" si="0"/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30"/>
      <c r="L17" s="30"/>
      <c r="M17" s="24"/>
    </row>
    <row r="18" spans="1:13" ht="14.25" customHeight="1">
      <c r="A18" s="21" t="s">
        <v>69</v>
      </c>
      <c r="B18" s="22">
        <v>0</v>
      </c>
      <c r="C18" s="24">
        <v>0</v>
      </c>
      <c r="D18" s="24">
        <v>0</v>
      </c>
      <c r="E18" s="24">
        <f t="shared" si="0"/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/>
      <c r="L18" s="24">
        <v>0</v>
      </c>
      <c r="M18" s="24"/>
    </row>
    <row r="19" spans="1:13" ht="14.25" customHeight="1">
      <c r="A19" s="21" t="s">
        <v>69</v>
      </c>
      <c r="B19" s="22">
        <v>0</v>
      </c>
      <c r="C19" s="24"/>
      <c r="D19" s="24"/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</row>
    <row r="20" spans="1:13" ht="14.25" customHeight="1">
      <c r="A20" s="21" t="s">
        <v>69</v>
      </c>
      <c r="B20" s="22">
        <v>0</v>
      </c>
      <c r="C20" s="24">
        <v>0</v>
      </c>
      <c r="D20" s="24"/>
      <c r="E20" s="24">
        <f t="shared" si="0"/>
        <v>0</v>
      </c>
      <c r="F20" s="24"/>
      <c r="G20" s="24"/>
      <c r="H20" s="24"/>
      <c r="I20" s="24"/>
      <c r="J20" s="24">
        <f>E20*L29</f>
        <v>0</v>
      </c>
      <c r="K20" s="24">
        <f>C20*L30</f>
        <v>0</v>
      </c>
      <c r="L20" s="24"/>
      <c r="M20" s="24"/>
    </row>
    <row r="21" spans="1:13" ht="14.25" customHeight="1">
      <c r="A21" s="21" t="s">
        <v>69</v>
      </c>
      <c r="B21" s="28">
        <v>0</v>
      </c>
      <c r="C21" s="30">
        <v>0</v>
      </c>
      <c r="D21" s="30"/>
      <c r="E21" s="30">
        <f t="shared" si="0"/>
        <v>0</v>
      </c>
      <c r="F21" s="30"/>
      <c r="G21" s="30"/>
      <c r="H21" s="30"/>
      <c r="I21" s="30"/>
      <c r="J21" s="30">
        <f>E21*L29</f>
        <v>0</v>
      </c>
      <c r="K21" s="30">
        <f>C21*L30</f>
        <v>0</v>
      </c>
      <c r="L21" s="24"/>
      <c r="M21" s="24"/>
    </row>
    <row r="22" spans="1:13" ht="14.25" customHeight="1">
      <c r="B22" s="22">
        <f>SUM(B20:B21)</f>
        <v>0</v>
      </c>
      <c r="C22" s="24">
        <f>SUM(C20:C21)</f>
        <v>0</v>
      </c>
      <c r="D22" s="24">
        <f>SUM(D13:D21)</f>
        <v>0</v>
      </c>
      <c r="E22" s="24">
        <f t="shared" ref="E22:K22" si="1">SUM(E20:E21)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/>
      <c r="M22" s="24"/>
    </row>
    <row r="23" spans="1:13" ht="14.25" customHeight="1">
      <c r="A23" s="32" t="s">
        <v>105</v>
      </c>
      <c r="B23" s="22">
        <f>B22+B18</f>
        <v>0</v>
      </c>
      <c r="C23" s="31">
        <f>SUM(C14:C21)</f>
        <v>0</v>
      </c>
      <c r="D23" s="31">
        <f>D22+D18</f>
        <v>0</v>
      </c>
      <c r="E23" s="31">
        <f>SUM(E14:E21)</f>
        <v>0</v>
      </c>
      <c r="F23" s="31">
        <f t="shared" ref="F23:L23" si="2">F22+F18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2"/>
        <v>0</v>
      </c>
      <c r="M23" s="24"/>
    </row>
    <row r="24" spans="1:13" ht="14.25" customHeight="1">
      <c r="C24" s="24"/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13" ht="14.25" customHeight="1">
      <c r="A25" s="21" t="s">
        <v>232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13" ht="14.25" customHeight="1">
      <c r="A26" s="21" t="s">
        <v>72</v>
      </c>
      <c r="B26" s="21" t="s">
        <v>69</v>
      </c>
      <c r="C26" s="34">
        <f>(B12*10000)*0.014</f>
        <v>1108.8</v>
      </c>
      <c r="D26" s="33"/>
      <c r="E26" s="33" t="s">
        <v>73</v>
      </c>
      <c r="F26" s="24">
        <v>100</v>
      </c>
      <c r="G26" s="35">
        <f>C12</f>
        <v>261760.24000000002</v>
      </c>
      <c r="J26" s="33"/>
      <c r="K26" s="33" t="s">
        <v>74</v>
      </c>
      <c r="L26" s="21">
        <v>0.09</v>
      </c>
    </row>
    <row r="27" spans="1:13" ht="14.25" customHeight="1">
      <c r="A27" s="21" t="s">
        <v>75</v>
      </c>
      <c r="C27" s="34">
        <f>C12*0.0065</f>
        <v>1701.44156</v>
      </c>
      <c r="E27" s="21" t="s">
        <v>76</v>
      </c>
      <c r="F27" s="21">
        <v>200</v>
      </c>
      <c r="G27" s="35">
        <f>F12+G12+H12+I12</f>
        <v>116759.08896000001</v>
      </c>
      <c r="K27" s="21" t="s">
        <v>77</v>
      </c>
      <c r="L27" s="21">
        <v>2.1600000000000001E-2</v>
      </c>
    </row>
    <row r="28" spans="1:13" ht="14.25" customHeight="1">
      <c r="A28" s="21" t="s">
        <v>267</v>
      </c>
      <c r="C28" s="34">
        <v>10000</v>
      </c>
      <c r="E28" s="21" t="s">
        <v>79</v>
      </c>
      <c r="F28" s="21">
        <v>300</v>
      </c>
      <c r="G28" s="35">
        <f>C30</f>
        <v>12810.24156</v>
      </c>
      <c r="K28" s="21" t="s">
        <v>80</v>
      </c>
      <c r="L28" s="21">
        <v>5.7999999999999996E-3</v>
      </c>
    </row>
    <row r="29" spans="1:13" ht="14.25" customHeight="1">
      <c r="A29" s="21" t="s">
        <v>69</v>
      </c>
      <c r="C29" s="45">
        <f>E23</f>
        <v>0</v>
      </c>
      <c r="E29" s="21" t="s">
        <v>82</v>
      </c>
      <c r="F29" s="21">
        <v>400</v>
      </c>
      <c r="G29" s="35">
        <f>C31</f>
        <v>0</v>
      </c>
      <c r="K29" s="21" t="s">
        <v>83</v>
      </c>
      <c r="L29" s="21">
        <v>1.4500000000000001E-2</v>
      </c>
    </row>
    <row r="30" spans="1:13" ht="14.25" customHeight="1">
      <c r="A30" s="32" t="s">
        <v>84</v>
      </c>
      <c r="C30" s="35">
        <f>SUM(C26:C29)</f>
        <v>12810.24156</v>
      </c>
      <c r="E30" s="38" t="s">
        <v>85</v>
      </c>
      <c r="F30" s="38">
        <v>500</v>
      </c>
      <c r="G30" s="39">
        <f>C32</f>
        <v>0</v>
      </c>
      <c r="K30" s="21" t="s">
        <v>86</v>
      </c>
      <c r="L30" s="21">
        <v>6.2E-2</v>
      </c>
    </row>
    <row r="31" spans="1:13" ht="14.25" customHeight="1">
      <c r="A31" s="32" t="s">
        <v>235</v>
      </c>
      <c r="C31" s="35">
        <v>0</v>
      </c>
      <c r="K31" s="21" t="s">
        <v>88</v>
      </c>
      <c r="L31" s="47">
        <f>SSW!L31</f>
        <v>8000</v>
      </c>
    </row>
    <row r="32" spans="1:13" ht="14.25" customHeight="1">
      <c r="A32" s="32" t="s">
        <v>236</v>
      </c>
      <c r="C32" s="35">
        <v>0</v>
      </c>
      <c r="E32" s="32" t="s">
        <v>268</v>
      </c>
      <c r="F32" s="32"/>
      <c r="G32" s="40">
        <f>SUM(G26:G31)</f>
        <v>391329.57052000001</v>
      </c>
      <c r="K32" s="21" t="s">
        <v>111</v>
      </c>
      <c r="L32" s="21">
        <v>0.1275</v>
      </c>
    </row>
    <row r="33" spans="11:12" ht="14.25" customHeight="1">
      <c r="K33" s="21" t="s">
        <v>91</v>
      </c>
      <c r="L33" s="21">
        <v>6.4999999999999997E-3</v>
      </c>
    </row>
    <row r="34" spans="11:12" ht="14.25" customHeight="1">
      <c r="K34" s="21" t="s">
        <v>92</v>
      </c>
      <c r="L34" s="21">
        <v>1.4E-2</v>
      </c>
    </row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00"/>
  <sheetViews>
    <sheetView workbookViewId="0">
      <selection activeCell="E20" sqref="E20"/>
    </sheetView>
  </sheetViews>
  <sheetFormatPr defaultColWidth="12.625" defaultRowHeight="15" customHeight="1"/>
  <cols>
    <col min="1" max="1" width="19" customWidth="1"/>
    <col min="2" max="2" width="7.625" customWidth="1"/>
    <col min="3" max="3" width="12.5" customWidth="1"/>
    <col min="4" max="26" width="7.625" customWidth="1"/>
  </cols>
  <sheetData>
    <row r="1" spans="1:3" ht="14.25" customHeight="1">
      <c r="A1" s="32" t="s">
        <v>269</v>
      </c>
    </row>
    <row r="2" spans="1:3" ht="14.25" customHeight="1"/>
    <row r="3" spans="1:3" ht="14.25" customHeight="1">
      <c r="A3" s="21" t="s">
        <v>270</v>
      </c>
      <c r="C3" s="34">
        <v>33000</v>
      </c>
    </row>
    <row r="4" spans="1:3" ht="14.25" customHeight="1">
      <c r="A4" s="21" t="s">
        <v>271</v>
      </c>
      <c r="C4" s="34">
        <v>8486</v>
      </c>
    </row>
    <row r="5" spans="1:3" ht="14.25" customHeight="1">
      <c r="A5" s="21" t="s">
        <v>272</v>
      </c>
      <c r="C5" s="34">
        <v>2000</v>
      </c>
    </row>
    <row r="6" spans="1:3" ht="14.25" customHeight="1">
      <c r="A6" s="21" t="s">
        <v>273</v>
      </c>
      <c r="C6" s="34">
        <v>11000</v>
      </c>
    </row>
    <row r="7" spans="1:3" ht="14.25" customHeight="1">
      <c r="A7" s="21" t="s">
        <v>274</v>
      </c>
      <c r="C7" s="34">
        <v>4000</v>
      </c>
    </row>
    <row r="8" spans="1:3" ht="14.25" customHeight="1">
      <c r="A8" s="21" t="s">
        <v>275</v>
      </c>
      <c r="C8" s="34">
        <v>48040</v>
      </c>
    </row>
    <row r="9" spans="1:3" ht="14.25" customHeight="1">
      <c r="A9" s="21" t="s">
        <v>276</v>
      </c>
      <c r="C9" s="45">
        <v>9000</v>
      </c>
    </row>
    <row r="10" spans="1:3" ht="14.25" customHeight="1">
      <c r="C10" s="34">
        <f>SUM(C3:C9)</f>
        <v>115526</v>
      </c>
    </row>
    <row r="11" spans="1:3" ht="14.25" customHeight="1"/>
    <row r="12" spans="1:3" ht="14.25" customHeight="1">
      <c r="A12" s="93" t="s">
        <v>69</v>
      </c>
    </row>
    <row r="13" spans="1:3" ht="14.25" customHeight="1"/>
    <row r="14" spans="1:3" ht="14.25" customHeight="1">
      <c r="A14" s="32" t="s">
        <v>277</v>
      </c>
      <c r="B14" s="32"/>
      <c r="C14" s="35">
        <f>C10</f>
        <v>115526</v>
      </c>
    </row>
    <row r="15" spans="1:3" ht="14.25" customHeight="1"/>
    <row r="16" spans="1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topLeftCell="A4" workbookViewId="0">
      <selection activeCell="C16" sqref="C16"/>
    </sheetView>
  </sheetViews>
  <sheetFormatPr defaultColWidth="12.625" defaultRowHeight="15" customHeight="1"/>
  <cols>
    <col min="1" max="1" width="16.375" customWidth="1"/>
    <col min="2" max="2" width="4.375" customWidth="1"/>
    <col min="3" max="3" width="8.875" customWidth="1"/>
    <col min="4" max="4" width="7" customWidth="1"/>
    <col min="5" max="5" width="8.75" customWidth="1"/>
    <col min="6" max="6" width="9.375" customWidth="1"/>
    <col min="7" max="7" width="8.87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19" t="s">
        <v>52</v>
      </c>
      <c r="J1" s="20" t="s">
        <v>53</v>
      </c>
      <c r="K1" s="20" t="s">
        <v>54</v>
      </c>
      <c r="L1" s="20" t="s">
        <v>55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4" t="s">
        <v>56</v>
      </c>
      <c r="B2" s="22">
        <v>1</v>
      </c>
      <c r="C2" s="155">
        <f>(86101*1.04)+500+(86101*0.0075*2)+(86101*0.0025)-285</f>
        <v>91266.80750000001</v>
      </c>
      <c r="D2" s="24">
        <v>0</v>
      </c>
      <c r="E2" s="24">
        <f t="shared" ref="E2:E21" si="0">D2+C2</f>
        <v>91266.80750000001</v>
      </c>
      <c r="F2" s="24">
        <f>C2*L26</f>
        <v>8214.0126749999999</v>
      </c>
      <c r="G2" s="24">
        <f>C2*L27</f>
        <v>1971.3630420000004</v>
      </c>
      <c r="H2" s="24">
        <f>C2*L28</f>
        <v>529.34748350000007</v>
      </c>
      <c r="I2" s="24">
        <f t="shared" ref="I2:I17" si="1">C2+F2+G2+H2</f>
        <v>101981.53070050001</v>
      </c>
      <c r="J2" s="24">
        <f>C2*L29</f>
        <v>1323.3687087500002</v>
      </c>
      <c r="K2" s="24"/>
      <c r="L2" s="24">
        <v>8000</v>
      </c>
      <c r="M2" s="24"/>
    </row>
    <row r="3" spans="1:26" ht="14.25" customHeight="1">
      <c r="A3" s="146" t="s">
        <v>288</v>
      </c>
      <c r="B3" s="26">
        <v>0.4</v>
      </c>
      <c r="C3" s="155">
        <v>28032</v>
      </c>
      <c r="D3" s="24">
        <v>0</v>
      </c>
      <c r="E3" s="24">
        <f t="shared" si="0"/>
        <v>28032</v>
      </c>
      <c r="F3" s="24">
        <f>C3*L26</f>
        <v>2522.88</v>
      </c>
      <c r="G3" s="24">
        <f>C3*L27</f>
        <v>605.49120000000005</v>
      </c>
      <c r="H3" s="24">
        <f>C3*L28</f>
        <v>162.5856</v>
      </c>
      <c r="I3" s="24">
        <f t="shared" si="1"/>
        <v>31322.9568</v>
      </c>
      <c r="J3" s="24">
        <f>C3*L29</f>
        <v>406.464</v>
      </c>
      <c r="K3" s="24"/>
      <c r="L3" s="24">
        <f>8000*0.4</f>
        <v>3200</v>
      </c>
      <c r="M3" s="24"/>
    </row>
    <row r="4" spans="1:26" ht="14.25" customHeight="1">
      <c r="A4" s="144" t="s">
        <v>57</v>
      </c>
      <c r="B4" s="22">
        <v>1</v>
      </c>
      <c r="C4" s="155">
        <f>(42174*1.04)+(42174*0.005)</f>
        <v>44071.83</v>
      </c>
      <c r="D4" s="148">
        <v>3600</v>
      </c>
      <c r="E4" s="24">
        <f t="shared" si="0"/>
        <v>47671.83</v>
      </c>
      <c r="F4" s="24">
        <f>C4*L26</f>
        <v>3966.4647</v>
      </c>
      <c r="G4" s="24">
        <f>C4*L27</f>
        <v>951.95152800000005</v>
      </c>
      <c r="H4" s="24">
        <f>C4*L28</f>
        <v>255.616614</v>
      </c>
      <c r="I4" s="24">
        <f t="shared" si="1"/>
        <v>49245.862841999995</v>
      </c>
      <c r="J4" s="24">
        <f>C4*L29</f>
        <v>639.04153500000007</v>
      </c>
      <c r="K4" s="24"/>
      <c r="L4" s="24">
        <v>8000</v>
      </c>
      <c r="M4" s="24">
        <f>SUM(I4:L4)</f>
        <v>57884.904376999992</v>
      </c>
      <c r="N4" s="130" t="s">
        <v>281</v>
      </c>
      <c r="O4" s="130" t="s">
        <v>291</v>
      </c>
    </row>
    <row r="5" spans="1:26" ht="14.25" customHeight="1">
      <c r="A5" s="144" t="s">
        <v>58</v>
      </c>
      <c r="B5" s="22">
        <v>1</v>
      </c>
      <c r="C5" s="156">
        <f>39787*1.04</f>
        <v>41378.480000000003</v>
      </c>
      <c r="D5" s="148">
        <v>3600</v>
      </c>
      <c r="E5" s="24">
        <f t="shared" si="0"/>
        <v>44978.48</v>
      </c>
      <c r="F5" s="24">
        <f>C5*L26</f>
        <v>3724.0632000000001</v>
      </c>
      <c r="G5" s="24">
        <f>C5*L27</f>
        <v>893.77516800000012</v>
      </c>
      <c r="H5" s="24">
        <f>C5*L28</f>
        <v>239.99518399999999</v>
      </c>
      <c r="I5" s="24">
        <f t="shared" si="1"/>
        <v>46236.313552</v>
      </c>
      <c r="J5" s="24">
        <f>C5*L29</f>
        <v>599.98796000000004</v>
      </c>
      <c r="K5" s="24"/>
      <c r="L5" s="24">
        <v>8000</v>
      </c>
      <c r="M5" s="24"/>
    </row>
    <row r="6" spans="1:26" ht="14.25" customHeight="1">
      <c r="A6" s="144" t="s">
        <v>59</v>
      </c>
      <c r="B6" s="22">
        <v>1</v>
      </c>
      <c r="C6" s="155">
        <f>(78825*1.04)+(78825*0.0025)</f>
        <v>82175.0625</v>
      </c>
      <c r="D6" s="24"/>
      <c r="E6" s="24">
        <f t="shared" si="0"/>
        <v>82175.0625</v>
      </c>
      <c r="F6" s="24">
        <f>C6*L26</f>
        <v>7395.7556249999998</v>
      </c>
      <c r="G6" s="24">
        <f>C6*L27</f>
        <v>1774.98135</v>
      </c>
      <c r="H6" s="24">
        <f>C6*L28</f>
        <v>476.61536249999995</v>
      </c>
      <c r="I6" s="24">
        <f t="shared" si="1"/>
        <v>91822.414837500008</v>
      </c>
      <c r="J6" s="24">
        <f>C6*L29</f>
        <v>1191.53840625</v>
      </c>
      <c r="K6" s="24"/>
      <c r="L6" s="24">
        <v>8000</v>
      </c>
      <c r="M6" s="24"/>
    </row>
    <row r="7" spans="1:26" ht="14.25" customHeight="1">
      <c r="A7" s="144" t="s">
        <v>60</v>
      </c>
      <c r="B7" s="22">
        <v>1</v>
      </c>
      <c r="C7" s="155">
        <f>47186*1.04</f>
        <v>49073.440000000002</v>
      </c>
      <c r="D7" s="24"/>
      <c r="E7" s="24">
        <f t="shared" si="0"/>
        <v>49073.440000000002</v>
      </c>
      <c r="F7" s="24">
        <f>C7*L26</f>
        <v>4416.6095999999998</v>
      </c>
      <c r="G7" s="24">
        <f>C7*L27</f>
        <v>1059.986304</v>
      </c>
      <c r="H7" s="24">
        <f>C7*L28</f>
        <v>284.62595199999998</v>
      </c>
      <c r="I7" s="24">
        <f t="shared" si="1"/>
        <v>54834.661855999999</v>
      </c>
      <c r="J7" s="24">
        <f>C7*L29</f>
        <v>711.56488000000002</v>
      </c>
      <c r="K7" s="24"/>
      <c r="L7" s="24">
        <v>8000</v>
      </c>
      <c r="M7" s="24"/>
    </row>
    <row r="8" spans="1:26" ht="14.25" customHeight="1">
      <c r="A8" s="144" t="s">
        <v>61</v>
      </c>
      <c r="B8" s="22">
        <v>1</v>
      </c>
      <c r="C8" s="155">
        <f>(43123*1.04)+(43123*0.0025)</f>
        <v>44955.727500000001</v>
      </c>
      <c r="D8" s="24"/>
      <c r="E8" s="24">
        <f t="shared" si="0"/>
        <v>44955.727500000001</v>
      </c>
      <c r="F8" s="24">
        <f>C8*L26</f>
        <v>4046.0154750000002</v>
      </c>
      <c r="G8" s="24">
        <f>C8*L27</f>
        <v>971.04371400000002</v>
      </c>
      <c r="H8" s="24">
        <f>C8*L28</f>
        <v>260.74321950000001</v>
      </c>
      <c r="I8" s="24">
        <f t="shared" si="1"/>
        <v>50233.529908500001</v>
      </c>
      <c r="J8" s="24">
        <f>C8*L29</f>
        <v>651.85804875000008</v>
      </c>
      <c r="K8" s="24"/>
      <c r="L8" s="24">
        <v>8000</v>
      </c>
      <c r="M8" s="24">
        <f>SUM(I8:L8)*0.2</f>
        <v>11777.077591450001</v>
      </c>
      <c r="N8" s="130" t="s">
        <v>297</v>
      </c>
      <c r="O8" s="130" t="s">
        <v>298</v>
      </c>
    </row>
    <row r="9" spans="1:26" ht="14.25" customHeight="1">
      <c r="A9" s="144" t="s">
        <v>62</v>
      </c>
      <c r="B9" s="22">
        <v>1</v>
      </c>
      <c r="C9" s="155">
        <f>(45195*1.04)+500+(45195*0.0075)</f>
        <v>47841.762500000004</v>
      </c>
      <c r="D9" s="148">
        <v>3600</v>
      </c>
      <c r="E9" s="24">
        <f t="shared" si="0"/>
        <v>51441.762500000004</v>
      </c>
      <c r="F9" s="24">
        <f>C9*L26</f>
        <v>4305.7586250000004</v>
      </c>
      <c r="G9" s="24">
        <f>C9*L27</f>
        <v>1033.3820700000001</v>
      </c>
      <c r="H9" s="24">
        <f>C9*L28</f>
        <v>277.48222250000003</v>
      </c>
      <c r="I9" s="24">
        <f t="shared" si="1"/>
        <v>53458.385417500009</v>
      </c>
      <c r="J9" s="24">
        <f>C9*L29</f>
        <v>693.70555625000009</v>
      </c>
      <c r="K9" s="24"/>
      <c r="L9" s="24">
        <v>8000</v>
      </c>
      <c r="M9" s="24">
        <f>SUM(I9:L9)*0.4</f>
        <v>24860.836389500007</v>
      </c>
      <c r="N9" s="130" t="s">
        <v>294</v>
      </c>
      <c r="O9" s="130" t="s">
        <v>295</v>
      </c>
    </row>
    <row r="10" spans="1:26" ht="14.25" customHeight="1">
      <c r="A10" s="147" t="s">
        <v>63</v>
      </c>
      <c r="B10" s="22">
        <v>1</v>
      </c>
      <c r="C10" s="155">
        <f>62438*1.04</f>
        <v>64935.520000000004</v>
      </c>
      <c r="D10" s="148">
        <v>3600</v>
      </c>
      <c r="E10" s="24">
        <f t="shared" si="0"/>
        <v>68535.520000000004</v>
      </c>
      <c r="F10" s="24">
        <f>C10*L26</f>
        <v>5844.1967999999997</v>
      </c>
      <c r="G10" s="24">
        <f>C10*L27</f>
        <v>1402.6072320000001</v>
      </c>
      <c r="H10" s="24">
        <f>C10*L28</f>
        <v>376.62601599999999</v>
      </c>
      <c r="I10" s="24">
        <f t="shared" si="1"/>
        <v>72558.950047999999</v>
      </c>
      <c r="J10" s="24">
        <f>C10*L29</f>
        <v>941.56504000000007</v>
      </c>
      <c r="K10" s="24"/>
      <c r="L10" s="24">
        <v>8000</v>
      </c>
      <c r="M10" s="24">
        <f>SUM(I10:L10)*0.6</f>
        <v>48900.309052799996</v>
      </c>
      <c r="N10" s="130" t="s">
        <v>282</v>
      </c>
      <c r="O10" s="130" t="s">
        <v>292</v>
      </c>
    </row>
    <row r="11" spans="1:26" ht="14.25" customHeight="1">
      <c r="A11" s="144" t="s">
        <v>310</v>
      </c>
      <c r="B11" s="22">
        <v>0.6</v>
      </c>
      <c r="C11" s="23">
        <f>(63063*1.04)*0.6</f>
        <v>39351.311999999998</v>
      </c>
      <c r="D11" s="24">
        <v>3600</v>
      </c>
      <c r="E11" s="24">
        <f t="shared" si="0"/>
        <v>42951.311999999998</v>
      </c>
      <c r="F11" s="24">
        <f>C11*L26</f>
        <v>3541.6180799999997</v>
      </c>
      <c r="G11" s="24">
        <f>C11*L27</f>
        <v>849.98833920000004</v>
      </c>
      <c r="H11" s="24">
        <f>C11*L28</f>
        <v>228.23760959999998</v>
      </c>
      <c r="I11" s="24">
        <f t="shared" si="1"/>
        <v>43971.156028799996</v>
      </c>
      <c r="J11" s="24">
        <f>C11*L29</f>
        <v>570.59402399999999</v>
      </c>
      <c r="K11" s="24"/>
      <c r="L11" s="24">
        <v>8000</v>
      </c>
      <c r="M11" s="24">
        <f>SUM(I11:L11)*0.1</f>
        <v>5254.1750052799998</v>
      </c>
      <c r="N11" s="130">
        <v>0.5</v>
      </c>
      <c r="O11" s="130" t="s">
        <v>296</v>
      </c>
    </row>
    <row r="12" spans="1:26" ht="14.25" customHeight="1">
      <c r="A12" s="144" t="s">
        <v>279</v>
      </c>
      <c r="B12" s="22">
        <v>1</v>
      </c>
      <c r="C12" s="156">
        <v>47214</v>
      </c>
      <c r="D12" s="24"/>
      <c r="E12" s="24">
        <f t="shared" si="0"/>
        <v>47214</v>
      </c>
      <c r="F12" s="24">
        <f>C12*L27</f>
        <v>1019.8224</v>
      </c>
      <c r="G12" s="24">
        <f>C12*L28</f>
        <v>273.84119999999996</v>
      </c>
      <c r="H12" s="24">
        <f>C12*L29</f>
        <v>684.60300000000007</v>
      </c>
      <c r="I12" s="24">
        <f t="shared" si="1"/>
        <v>49192.266600000003</v>
      </c>
      <c r="J12" s="24">
        <f>C12*L29</f>
        <v>684.60300000000007</v>
      </c>
      <c r="K12" s="24"/>
      <c r="L12" s="24">
        <v>8000</v>
      </c>
      <c r="M12" s="24">
        <f>SUM(I12:L12)*0.6</f>
        <v>34726.121760000002</v>
      </c>
      <c r="N12" s="130" t="s">
        <v>282</v>
      </c>
      <c r="O12" s="130" t="s">
        <v>291</v>
      </c>
    </row>
    <row r="13" spans="1:26" ht="14.25" customHeight="1">
      <c r="A13" s="144" t="s">
        <v>64</v>
      </c>
      <c r="B13" s="22">
        <v>1</v>
      </c>
      <c r="C13" s="155">
        <f>43985*1.04</f>
        <v>45744.4</v>
      </c>
      <c r="D13" s="24">
        <v>0</v>
      </c>
      <c r="E13" s="24">
        <f t="shared" si="0"/>
        <v>45744.4</v>
      </c>
      <c r="F13" s="24">
        <f>C13*L26</f>
        <v>4116.9960000000001</v>
      </c>
      <c r="G13" s="24">
        <f>C13*L27</f>
        <v>988.07904000000008</v>
      </c>
      <c r="H13" s="24">
        <f>C13*L28</f>
        <v>265.31752</v>
      </c>
      <c r="I13" s="24">
        <f t="shared" si="1"/>
        <v>51114.792559999994</v>
      </c>
      <c r="J13" s="24">
        <f>C13*L29</f>
        <v>663.29380000000003</v>
      </c>
      <c r="K13" s="24"/>
      <c r="L13" s="24">
        <v>8000</v>
      </c>
      <c r="M13" s="24">
        <f>SUM(I13:L13)*0.2</f>
        <v>11955.617272</v>
      </c>
      <c r="N13" s="130" t="s">
        <v>283</v>
      </c>
      <c r="O13" s="130" t="s">
        <v>286</v>
      </c>
    </row>
    <row r="14" spans="1:26" ht="14.25" customHeight="1">
      <c r="A14" s="144" t="s">
        <v>65</v>
      </c>
      <c r="B14" s="22">
        <v>1</v>
      </c>
      <c r="C14" s="155">
        <f>(47329*1.04)+(47329*0.005)</f>
        <v>49458.805</v>
      </c>
      <c r="D14" s="148">
        <v>3600</v>
      </c>
      <c r="E14" s="24">
        <f t="shared" si="0"/>
        <v>53058.805</v>
      </c>
      <c r="F14" s="24">
        <f>C14*L26</f>
        <v>4451.2924499999999</v>
      </c>
      <c r="G14" s="24">
        <f>C14*L27</f>
        <v>1068.3101880000002</v>
      </c>
      <c r="H14" s="24">
        <f>C14*L28</f>
        <v>286.86106899999999</v>
      </c>
      <c r="I14" s="24">
        <f t="shared" si="1"/>
        <v>55265.268707000003</v>
      </c>
      <c r="J14" s="24">
        <f>C14*L29</f>
        <v>717.15267249999999</v>
      </c>
      <c r="K14" s="24"/>
      <c r="L14" s="24">
        <v>8000</v>
      </c>
      <c r="M14" s="24">
        <f>SUM(I14:L14)</f>
        <v>63982.421379500003</v>
      </c>
      <c r="N14" s="130" t="s">
        <v>281</v>
      </c>
      <c r="O14" s="130" t="s">
        <v>291</v>
      </c>
    </row>
    <row r="15" spans="1:26" ht="14.25" customHeight="1">
      <c r="A15" s="144" t="s">
        <v>66</v>
      </c>
      <c r="B15" s="22">
        <v>1</v>
      </c>
      <c r="C15" s="155">
        <f>(42174*1.04)+(42174*0.005)+(42174*0.0075)</f>
        <v>44388.135000000002</v>
      </c>
      <c r="D15" s="24"/>
      <c r="E15" s="24">
        <f t="shared" si="0"/>
        <v>44388.135000000002</v>
      </c>
      <c r="F15" s="24">
        <f>C15*L26</f>
        <v>3994.9321500000001</v>
      </c>
      <c r="G15" s="24">
        <f>C15*L27</f>
        <v>958.78371600000014</v>
      </c>
      <c r="H15" s="24">
        <f>C15*L28</f>
        <v>257.45118300000001</v>
      </c>
      <c r="I15" s="24">
        <f t="shared" si="1"/>
        <v>49599.302048999998</v>
      </c>
      <c r="J15" s="24">
        <f>C15*L29</f>
        <v>643.62795750000009</v>
      </c>
      <c r="K15" s="24"/>
      <c r="L15" s="24">
        <v>8000</v>
      </c>
      <c r="M15" s="24">
        <f>SUM(I15:L15)*0.1</f>
        <v>5824.2930006500001</v>
      </c>
      <c r="N15" s="130" t="s">
        <v>299</v>
      </c>
      <c r="O15" s="130" t="s">
        <v>300</v>
      </c>
    </row>
    <row r="16" spans="1:26" ht="14.25" customHeight="1">
      <c r="A16" s="147" t="s">
        <v>306</v>
      </c>
      <c r="B16" s="22">
        <v>1</v>
      </c>
      <c r="C16" s="155">
        <f>(54977*1.04)+500</f>
        <v>57676.08</v>
      </c>
      <c r="D16" s="27">
        <v>3600</v>
      </c>
      <c r="E16" s="24">
        <f t="shared" si="0"/>
        <v>61276.08</v>
      </c>
      <c r="F16" s="24">
        <f>C16*L26</f>
        <v>5190.8472000000002</v>
      </c>
      <c r="G16" s="24">
        <f>C16*L27</f>
        <v>1245.8033280000002</v>
      </c>
      <c r="H16" s="24">
        <f>C16*L28</f>
        <v>334.52126399999997</v>
      </c>
      <c r="I16" s="24">
        <f t="shared" si="1"/>
        <v>64447.25179200001</v>
      </c>
      <c r="J16" s="24">
        <f>C16*L29</f>
        <v>836.30316000000005</v>
      </c>
      <c r="K16" s="24"/>
      <c r="L16" s="24">
        <v>8000</v>
      </c>
      <c r="M16" s="24">
        <f>SUM(I16:L16)*0.2</f>
        <v>14656.710990400003</v>
      </c>
      <c r="N16" s="130" t="s">
        <v>284</v>
      </c>
      <c r="O16" s="130" t="s">
        <v>285</v>
      </c>
    </row>
    <row r="17" spans="1:15" ht="14.25" customHeight="1">
      <c r="A17" s="144" t="s">
        <v>67</v>
      </c>
      <c r="B17" s="28">
        <v>1</v>
      </c>
      <c r="C17" s="157">
        <f>58672*1.04</f>
        <v>61018.880000000005</v>
      </c>
      <c r="D17" s="30"/>
      <c r="E17" s="24">
        <f t="shared" si="0"/>
        <v>61018.880000000005</v>
      </c>
      <c r="F17" s="30">
        <f>C17*L26</f>
        <v>5491.6992</v>
      </c>
      <c r="G17" s="30">
        <f>C17*L27</f>
        <v>1318.0078080000001</v>
      </c>
      <c r="H17" s="30">
        <f>C17*L28</f>
        <v>353.90950400000003</v>
      </c>
      <c r="I17" s="30">
        <f t="shared" si="1"/>
        <v>68182.496511999998</v>
      </c>
      <c r="J17" s="30">
        <f>C17*L29</f>
        <v>884.77376000000015</v>
      </c>
      <c r="K17" s="30"/>
      <c r="L17" s="24">
        <v>8000</v>
      </c>
      <c r="M17" s="24">
        <f>SUM(I17:L17)</f>
        <v>77067.270271999994</v>
      </c>
      <c r="N17" s="130" t="s">
        <v>281</v>
      </c>
      <c r="O17" s="130" t="s">
        <v>293</v>
      </c>
    </row>
    <row r="18" spans="1:15" ht="14.25" customHeight="1">
      <c r="B18" s="22">
        <f>SUM(B2:B17)</f>
        <v>15</v>
      </c>
      <c r="C18" s="31">
        <f>SUM(C2:C17)</f>
        <v>838582.24200000009</v>
      </c>
      <c r="D18" s="31">
        <f>SUM(D2:D17)</f>
        <v>25200</v>
      </c>
      <c r="E18" s="31">
        <f t="shared" si="0"/>
        <v>863782.24200000009</v>
      </c>
      <c r="F18" s="31">
        <f>SUM(F2:F17)</f>
        <v>72242.96418000001</v>
      </c>
      <c r="G18" s="31">
        <f>SUM(G2:G17)</f>
        <v>17367.395227199999</v>
      </c>
      <c r="H18" s="31">
        <f>SUM(H2:H17)</f>
        <v>5274.5388036000004</v>
      </c>
      <c r="I18" s="31">
        <f>SUM(I2:I17)</f>
        <v>933467.14021079999</v>
      </c>
      <c r="J18" s="31">
        <f>SUM(J2:J17)</f>
        <v>12159.442509</v>
      </c>
      <c r="K18" s="24"/>
      <c r="L18" s="31">
        <f>B18*L31</f>
        <v>120000</v>
      </c>
      <c r="M18" s="24"/>
    </row>
    <row r="19" spans="1:15" ht="14.25" customHeight="1">
      <c r="A19" s="145" t="s">
        <v>309</v>
      </c>
      <c r="B19" s="26"/>
      <c r="C19" s="23"/>
      <c r="D19" s="24"/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</row>
    <row r="20" spans="1:15" ht="14.25" customHeight="1">
      <c r="A20" s="25" t="s">
        <v>68</v>
      </c>
      <c r="B20" s="26">
        <v>2</v>
      </c>
      <c r="C20" s="23">
        <v>60000</v>
      </c>
      <c r="D20" s="24"/>
      <c r="E20" s="24">
        <f t="shared" si="0"/>
        <v>60000</v>
      </c>
      <c r="F20" s="24"/>
      <c r="G20" s="24"/>
      <c r="H20" s="24"/>
      <c r="I20" s="24"/>
      <c r="J20" s="24">
        <f>E20*L29</f>
        <v>870</v>
      </c>
      <c r="K20" s="24">
        <f>C20*L30</f>
        <v>3720</v>
      </c>
      <c r="L20" s="24"/>
      <c r="M20" s="24"/>
    </row>
    <row r="21" spans="1:15" ht="14.25" customHeight="1">
      <c r="A21" s="21" t="s">
        <v>69</v>
      </c>
      <c r="B21" s="28">
        <v>0</v>
      </c>
      <c r="C21" s="30">
        <v>0</v>
      </c>
      <c r="D21" s="30"/>
      <c r="E21" s="30">
        <f t="shared" si="0"/>
        <v>0</v>
      </c>
      <c r="F21" s="30"/>
      <c r="G21" s="30"/>
      <c r="H21" s="30"/>
      <c r="I21" s="30"/>
      <c r="J21" s="30">
        <f>E21*L29</f>
        <v>0</v>
      </c>
      <c r="K21" s="30">
        <f>C21*L30</f>
        <v>0</v>
      </c>
      <c r="L21" s="24"/>
      <c r="M21" s="24"/>
    </row>
    <row r="22" spans="1:15" ht="14.25" customHeight="1">
      <c r="B22" s="22">
        <f>SUM(B20:B21)</f>
        <v>2</v>
      </c>
      <c r="C22" s="24">
        <f>SUM(C19:C21)</f>
        <v>60000</v>
      </c>
      <c r="D22" s="24">
        <f>SUM(D20:D21)</f>
        <v>0</v>
      </c>
      <c r="E22" s="24">
        <f>SUM(E19:E21)</f>
        <v>60000</v>
      </c>
      <c r="F22" s="24">
        <f t="shared" ref="F22:K22" si="2">SUM(F20:F21)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870</v>
      </c>
      <c r="K22" s="24">
        <f t="shared" si="2"/>
        <v>3720</v>
      </c>
      <c r="L22" s="24"/>
      <c r="M22" s="24"/>
    </row>
    <row r="23" spans="1:15" ht="14.25" customHeight="1">
      <c r="A23" s="32" t="s">
        <v>70</v>
      </c>
      <c r="B23" s="22">
        <f t="shared" ref="B23:L23" si="3">B22+B18</f>
        <v>17</v>
      </c>
      <c r="C23" s="31">
        <f t="shared" si="3"/>
        <v>898582.24200000009</v>
      </c>
      <c r="D23" s="31">
        <f t="shared" si="3"/>
        <v>25200</v>
      </c>
      <c r="E23" s="31">
        <f t="shared" si="3"/>
        <v>923782.24200000009</v>
      </c>
      <c r="F23" s="31">
        <f t="shared" si="3"/>
        <v>72242.96418000001</v>
      </c>
      <c r="G23" s="31">
        <f t="shared" si="3"/>
        <v>17367.395227199999</v>
      </c>
      <c r="H23" s="31">
        <f t="shared" si="3"/>
        <v>5274.5388036000004</v>
      </c>
      <c r="I23" s="31">
        <f t="shared" si="3"/>
        <v>933467.14021079999</v>
      </c>
      <c r="J23" s="31">
        <f t="shared" si="3"/>
        <v>13029.442509</v>
      </c>
      <c r="K23" s="31">
        <f t="shared" si="3"/>
        <v>3720</v>
      </c>
      <c r="L23" s="31">
        <f t="shared" si="3"/>
        <v>120000</v>
      </c>
      <c r="M23" s="24"/>
    </row>
    <row r="24" spans="1:15" ht="14.25" customHeight="1">
      <c r="C24" s="24"/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15" ht="14.25" customHeight="1">
      <c r="A25" s="21" t="s">
        <v>71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15" ht="14.25" customHeight="1">
      <c r="A26" s="21" t="s">
        <v>72</v>
      </c>
      <c r="B26" s="21" t="s">
        <v>69</v>
      </c>
      <c r="C26" s="34">
        <f>(B23*10000)*0.014</f>
        <v>2380</v>
      </c>
      <c r="D26" s="33"/>
      <c r="E26" s="33" t="s">
        <v>73</v>
      </c>
      <c r="F26" s="24">
        <v>100</v>
      </c>
      <c r="G26" s="35">
        <f>E23</f>
        <v>923782.24200000009</v>
      </c>
      <c r="J26" s="33"/>
      <c r="K26" s="33" t="s">
        <v>74</v>
      </c>
      <c r="L26" s="21">
        <v>0.09</v>
      </c>
    </row>
    <row r="27" spans="1:15" ht="14.25" customHeight="1">
      <c r="A27" s="21" t="s">
        <v>75</v>
      </c>
      <c r="C27" s="34">
        <f>C23*0.0065</f>
        <v>5840.7845729999999</v>
      </c>
      <c r="E27" s="21" t="s">
        <v>76</v>
      </c>
      <c r="F27" s="21">
        <v>200</v>
      </c>
      <c r="G27" s="35">
        <f>F23+G23+H23+J23+K23+L23</f>
        <v>231634.34071980004</v>
      </c>
      <c r="K27" s="21" t="s">
        <v>77</v>
      </c>
      <c r="L27" s="21">
        <v>2.1600000000000001E-2</v>
      </c>
    </row>
    <row r="28" spans="1:15" ht="14.25" customHeight="1">
      <c r="A28" s="21" t="s">
        <v>78</v>
      </c>
      <c r="C28" s="36">
        <v>25000</v>
      </c>
      <c r="E28" s="21" t="s">
        <v>79</v>
      </c>
      <c r="F28" s="21">
        <v>300</v>
      </c>
      <c r="G28" s="35">
        <f>C30</f>
        <v>55220.784572999997</v>
      </c>
      <c r="K28" s="21" t="s">
        <v>80</v>
      </c>
      <c r="L28" s="21">
        <v>5.7999999999999996E-3</v>
      </c>
    </row>
    <row r="29" spans="1:15" ht="14.25" customHeight="1">
      <c r="A29" s="25" t="s">
        <v>81</v>
      </c>
      <c r="C29" s="37">
        <v>22000</v>
      </c>
      <c r="E29" s="21" t="s">
        <v>82</v>
      </c>
      <c r="F29" s="21">
        <v>400</v>
      </c>
      <c r="G29" s="35">
        <f>C31</f>
        <v>10000</v>
      </c>
      <c r="K29" s="21" t="s">
        <v>83</v>
      </c>
      <c r="L29" s="21">
        <v>1.4500000000000001E-2</v>
      </c>
    </row>
    <row r="30" spans="1:15" ht="14.25" customHeight="1">
      <c r="A30" s="32" t="s">
        <v>84</v>
      </c>
      <c r="C30" s="35">
        <f>SUM(C26:C29)</f>
        <v>55220.784572999997</v>
      </c>
      <c r="E30" s="38" t="s">
        <v>85</v>
      </c>
      <c r="F30" s="38">
        <v>500</v>
      </c>
      <c r="G30" s="39">
        <v>4800</v>
      </c>
      <c r="K30" s="21" t="s">
        <v>86</v>
      </c>
      <c r="L30" s="21">
        <v>6.2E-2</v>
      </c>
    </row>
    <row r="31" spans="1:15" ht="14.25" customHeight="1">
      <c r="A31" s="32" t="s">
        <v>87</v>
      </c>
      <c r="C31" s="35">
        <v>10000</v>
      </c>
      <c r="K31" s="21" t="s">
        <v>88</v>
      </c>
      <c r="L31" s="21">
        <f>7855+49+96</f>
        <v>8000</v>
      </c>
    </row>
    <row r="32" spans="1:15" ht="14.25" customHeight="1">
      <c r="A32" s="32" t="s">
        <v>89</v>
      </c>
      <c r="C32" s="35">
        <v>3600</v>
      </c>
      <c r="E32" s="32" t="s">
        <v>90</v>
      </c>
      <c r="F32" s="32"/>
      <c r="G32" s="40">
        <f>SUM(G26:G31)</f>
        <v>1225437.3672928</v>
      </c>
      <c r="K32" s="21" t="s">
        <v>91</v>
      </c>
      <c r="L32" s="21">
        <v>6.4999999999999997E-3</v>
      </c>
    </row>
    <row r="33" spans="11:12" ht="14.25" customHeight="1">
      <c r="K33" s="21" t="s">
        <v>92</v>
      </c>
      <c r="L33" s="21">
        <v>1.4E-2</v>
      </c>
    </row>
    <row r="34" spans="11:12" ht="14.25" customHeight="1"/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A33" sqref="A33"/>
    </sheetView>
  </sheetViews>
  <sheetFormatPr defaultColWidth="12.625" defaultRowHeight="15" customHeight="1"/>
  <cols>
    <col min="1" max="1" width="16.375" customWidth="1"/>
    <col min="2" max="2" width="3.75" customWidth="1"/>
    <col min="3" max="3" width="8.875" customWidth="1"/>
    <col min="4" max="4" width="7" customWidth="1"/>
    <col min="5" max="5" width="8.75" customWidth="1"/>
    <col min="6" max="6" width="9.375" customWidth="1"/>
    <col min="7" max="7" width="7.87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93</v>
      </c>
      <c r="E1" s="20" t="s">
        <v>48</v>
      </c>
      <c r="F1" s="20" t="s">
        <v>53</v>
      </c>
      <c r="G1" s="20" t="s">
        <v>54</v>
      </c>
      <c r="H1" s="20" t="s">
        <v>94</v>
      </c>
      <c r="I1" s="20" t="s">
        <v>55</v>
      </c>
      <c r="J1" s="19"/>
      <c r="K1" s="19"/>
      <c r="L1" s="41" t="s">
        <v>69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4" t="s">
        <v>95</v>
      </c>
      <c r="B2" s="22">
        <v>1</v>
      </c>
      <c r="C2" s="24">
        <f>(88814*1.04)+(64.1*80)</f>
        <v>97494.56</v>
      </c>
      <c r="D2" s="24">
        <v>0</v>
      </c>
      <c r="E2" s="24">
        <f t="shared" ref="E2:E20" si="0">D2+C2</f>
        <v>97494.56</v>
      </c>
      <c r="F2" s="24">
        <f>E2*L29</f>
        <v>1413.67112</v>
      </c>
      <c r="G2" s="24">
        <f>E2*L30</f>
        <v>6044.6627200000003</v>
      </c>
      <c r="H2" s="24">
        <f>E2*L32</f>
        <v>12430.556399999999</v>
      </c>
      <c r="I2" s="24">
        <v>8000</v>
      </c>
      <c r="J2" s="24" t="s">
        <v>69</v>
      </c>
      <c r="K2" s="24"/>
      <c r="L2" s="24">
        <f>SUM(E2:K2)</f>
        <v>125383.45024000001</v>
      </c>
      <c r="M2" s="24">
        <f>10000*0.014</f>
        <v>140</v>
      </c>
      <c r="N2">
        <f>L2*0.00656</f>
        <v>822.51543357440005</v>
      </c>
      <c r="O2" s="132">
        <f>SUM(L2:N2)</f>
        <v>126345.96567357441</v>
      </c>
    </row>
    <row r="3" spans="1:26" ht="14.25" customHeight="1">
      <c r="A3" s="144" t="s">
        <v>96</v>
      </c>
      <c r="B3" s="22">
        <v>1</v>
      </c>
      <c r="C3" s="24">
        <f>40348*1.03</f>
        <v>41558.44</v>
      </c>
      <c r="D3" s="24">
        <v>0</v>
      </c>
      <c r="E3" s="24">
        <f t="shared" si="0"/>
        <v>41558.44</v>
      </c>
      <c r="F3" s="24">
        <f>E3*L29</f>
        <v>602.59738000000004</v>
      </c>
      <c r="G3" s="24">
        <f>E3*L30</f>
        <v>2576.6232800000002</v>
      </c>
      <c r="H3" s="24">
        <f>E3*L32</f>
        <v>5298.7011000000002</v>
      </c>
      <c r="I3" s="24">
        <v>8000</v>
      </c>
      <c r="J3" s="24" t="s">
        <v>69</v>
      </c>
      <c r="K3" s="24"/>
      <c r="L3" s="24"/>
      <c r="M3" s="24"/>
    </row>
    <row r="4" spans="1:26" ht="14.25" customHeight="1">
      <c r="A4" s="21" t="s">
        <v>69</v>
      </c>
      <c r="B4" s="22">
        <v>0</v>
      </c>
      <c r="C4" s="24">
        <v>0</v>
      </c>
      <c r="D4" s="24">
        <v>0</v>
      </c>
      <c r="E4" s="24">
        <f t="shared" si="0"/>
        <v>0</v>
      </c>
      <c r="F4" s="24">
        <f>E4*L29</f>
        <v>0</v>
      </c>
      <c r="G4" s="24">
        <f>E4*L30</f>
        <v>0</v>
      </c>
      <c r="H4" s="24">
        <f>E4*L32</f>
        <v>0</v>
      </c>
      <c r="I4" s="24">
        <v>0</v>
      </c>
      <c r="J4" s="24" t="s">
        <v>69</v>
      </c>
      <c r="K4" s="24"/>
      <c r="L4" s="24"/>
      <c r="M4" s="24"/>
    </row>
    <row r="5" spans="1:26" ht="14.25" customHeight="1">
      <c r="A5" s="144" t="s">
        <v>97</v>
      </c>
      <c r="B5" s="22">
        <v>1</v>
      </c>
      <c r="C5" s="24">
        <f>42763*1.03</f>
        <v>44045.89</v>
      </c>
      <c r="D5" s="24">
        <v>0</v>
      </c>
      <c r="E5" s="24">
        <f t="shared" si="0"/>
        <v>44045.89</v>
      </c>
      <c r="F5" s="24">
        <f>E5*L29</f>
        <v>638.66540500000008</v>
      </c>
      <c r="G5" s="24">
        <f>E5*L30</f>
        <v>2730.8451799999998</v>
      </c>
      <c r="H5" s="24">
        <f>E5*L32</f>
        <v>5615.8509750000003</v>
      </c>
      <c r="I5" s="24">
        <v>8000</v>
      </c>
      <c r="J5" s="24" t="s">
        <v>69</v>
      </c>
      <c r="K5" s="24"/>
      <c r="L5" s="24"/>
      <c r="M5" s="24"/>
    </row>
    <row r="6" spans="1:26" ht="14.25" customHeight="1">
      <c r="A6" s="144" t="s">
        <v>98</v>
      </c>
      <c r="B6" s="22">
        <v>1</v>
      </c>
      <c r="C6" s="24">
        <f>38363*1.03</f>
        <v>39513.89</v>
      </c>
      <c r="D6" s="24">
        <v>0</v>
      </c>
      <c r="E6" s="24">
        <f t="shared" si="0"/>
        <v>39513.89</v>
      </c>
      <c r="F6" s="24">
        <f>E6*L29</f>
        <v>572.95140500000002</v>
      </c>
      <c r="G6" s="24">
        <f>E6*L30</f>
        <v>2449.8611799999999</v>
      </c>
      <c r="H6" s="24">
        <f>E6*L32</f>
        <v>5038.0209750000004</v>
      </c>
      <c r="I6" s="24">
        <v>8000</v>
      </c>
      <c r="J6" s="24" t="s">
        <v>69</v>
      </c>
      <c r="K6" s="24"/>
      <c r="L6" s="24"/>
      <c r="M6" s="24"/>
    </row>
    <row r="7" spans="1:26" ht="14.25" customHeight="1">
      <c r="A7" s="144" t="s">
        <v>301</v>
      </c>
      <c r="B7" s="22">
        <v>1</v>
      </c>
      <c r="C7" s="24">
        <v>25200</v>
      </c>
      <c r="D7" s="24">
        <v>0</v>
      </c>
      <c r="E7" s="24">
        <f t="shared" si="0"/>
        <v>25200</v>
      </c>
      <c r="F7" s="24">
        <f>E7*L29</f>
        <v>365.40000000000003</v>
      </c>
      <c r="G7" s="24">
        <f>E7*L30</f>
        <v>1562.4</v>
      </c>
      <c r="H7" s="24">
        <f>E7*L32</f>
        <v>3213</v>
      </c>
      <c r="I7" s="24">
        <v>8000</v>
      </c>
      <c r="J7" s="24" t="s">
        <v>69</v>
      </c>
      <c r="K7" s="24"/>
      <c r="L7" s="24"/>
      <c r="M7" s="24"/>
    </row>
    <row r="8" spans="1:26" ht="14.25" customHeight="1">
      <c r="A8" s="144" t="s">
        <v>99</v>
      </c>
      <c r="B8" s="22">
        <v>1</v>
      </c>
      <c r="C8" s="24">
        <f>43100*1.03</f>
        <v>44393</v>
      </c>
      <c r="D8" s="24">
        <v>0</v>
      </c>
      <c r="E8" s="24">
        <f t="shared" si="0"/>
        <v>44393</v>
      </c>
      <c r="F8" s="24">
        <f>E8*L29</f>
        <v>643.69850000000008</v>
      </c>
      <c r="G8" s="24">
        <f>E8*L30</f>
        <v>2752.366</v>
      </c>
      <c r="H8" s="24">
        <f>E8*L32</f>
        <v>5660.1075000000001</v>
      </c>
      <c r="I8" s="24">
        <v>8000</v>
      </c>
      <c r="J8" s="24" t="s">
        <v>69</v>
      </c>
      <c r="K8" s="24"/>
      <c r="L8" s="24"/>
      <c r="M8" s="24"/>
    </row>
    <row r="9" spans="1:26" ht="14.25" customHeight="1">
      <c r="A9" s="151" t="s">
        <v>302</v>
      </c>
      <c r="B9" s="26">
        <v>0.4</v>
      </c>
      <c r="C9" s="150">
        <f>(20*1.03)*14*36</f>
        <v>10382.400000000001</v>
      </c>
      <c r="D9" s="24">
        <v>0</v>
      </c>
      <c r="E9" s="24">
        <f t="shared" si="0"/>
        <v>10382.400000000001</v>
      </c>
      <c r="F9" s="24">
        <f>E9*L29</f>
        <v>150.54480000000004</v>
      </c>
      <c r="G9" s="24">
        <f>C9*L30</f>
        <v>643.70880000000011</v>
      </c>
      <c r="H9" s="24">
        <f>C9*L32</f>
        <v>1323.7560000000003</v>
      </c>
      <c r="I9" s="24">
        <v>8000</v>
      </c>
      <c r="J9" s="24" t="s">
        <v>69</v>
      </c>
      <c r="K9" s="24"/>
      <c r="L9" s="24"/>
      <c r="M9" s="24"/>
    </row>
    <row r="10" spans="1:26" ht="14.25" customHeight="1">
      <c r="A10" s="151" t="s">
        <v>313</v>
      </c>
      <c r="B10" s="22">
        <v>0.4</v>
      </c>
      <c r="C10" s="152">
        <f>24*504</f>
        <v>12096</v>
      </c>
      <c r="D10" s="24">
        <v>0</v>
      </c>
      <c r="E10" s="24">
        <f t="shared" si="0"/>
        <v>12096</v>
      </c>
      <c r="F10" s="24">
        <f>C10*L29</f>
        <v>175.392</v>
      </c>
      <c r="G10" s="24">
        <f>C10*L30</f>
        <v>749.952</v>
      </c>
      <c r="H10" s="24">
        <f>C10*L32</f>
        <v>1542.24</v>
      </c>
      <c r="I10" s="24">
        <v>8000</v>
      </c>
      <c r="J10" s="131" t="s">
        <v>69</v>
      </c>
      <c r="K10" s="24"/>
      <c r="L10" s="24"/>
      <c r="M10" s="24"/>
    </row>
    <row r="11" spans="1:26" ht="14.25" customHeight="1">
      <c r="A11" s="21" t="s">
        <v>69</v>
      </c>
      <c r="B11" s="22">
        <v>0</v>
      </c>
      <c r="C11" s="24">
        <v>0</v>
      </c>
      <c r="D11" s="24">
        <v>0</v>
      </c>
      <c r="E11" s="24">
        <f t="shared" si="0"/>
        <v>0</v>
      </c>
      <c r="F11" s="24">
        <v>0</v>
      </c>
      <c r="G11" s="24">
        <v>0</v>
      </c>
      <c r="H11" s="24">
        <f>C11*L28</f>
        <v>0</v>
      </c>
      <c r="I11" s="24">
        <f>C11+F11+G11+H11</f>
        <v>0</v>
      </c>
      <c r="J11" s="24">
        <f>C11*L29</f>
        <v>0</v>
      </c>
      <c r="K11" s="24"/>
      <c r="L11" s="24"/>
      <c r="M11" s="24"/>
    </row>
    <row r="12" spans="1:26" ht="14.25" customHeight="1">
      <c r="A12" s="19" t="s">
        <v>100</v>
      </c>
      <c r="B12" s="43">
        <f>SUM(B2:B11)</f>
        <v>6.8000000000000007</v>
      </c>
      <c r="C12" s="44">
        <f>SUM(C2:C11)</f>
        <v>314684.18000000005</v>
      </c>
      <c r="D12" s="44">
        <f>SUM(D2:D11)</f>
        <v>0</v>
      </c>
      <c r="E12" s="44">
        <f t="shared" si="0"/>
        <v>314684.18000000005</v>
      </c>
      <c r="F12" s="44">
        <f>SUM(F2:F11)</f>
        <v>4562.9206100000001</v>
      </c>
      <c r="G12" s="44">
        <f>SUM(G2:G11)</f>
        <v>19510.419160000001</v>
      </c>
      <c r="H12" s="44">
        <f>SUM(H2:H11)</f>
        <v>40122.232949999998</v>
      </c>
      <c r="I12" s="44">
        <f>B12*L31</f>
        <v>54400.000000000007</v>
      </c>
      <c r="J12" s="44" t="s">
        <v>69</v>
      </c>
      <c r="K12" s="44"/>
      <c r="L12" s="24" t="s">
        <v>69</v>
      </c>
      <c r="M12" s="24"/>
    </row>
    <row r="13" spans="1:26" ht="14.25" customHeight="1">
      <c r="A13" s="21" t="s">
        <v>69</v>
      </c>
      <c r="B13" s="22">
        <v>0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v>0</v>
      </c>
      <c r="H13" s="24">
        <f>C13*L28</f>
        <v>0</v>
      </c>
      <c r="I13" s="24">
        <f>C13+F13+G13+H13</f>
        <v>0</v>
      </c>
      <c r="J13" s="24">
        <f>C13*L29</f>
        <v>0</v>
      </c>
      <c r="K13" s="24"/>
      <c r="L13" s="24"/>
      <c r="M13" s="24"/>
    </row>
    <row r="14" spans="1:26" ht="14.25" customHeight="1">
      <c r="A14" s="144" t="s">
        <v>314</v>
      </c>
      <c r="B14" s="22">
        <v>0.8</v>
      </c>
      <c r="C14" s="23">
        <f>1008*65</f>
        <v>65520</v>
      </c>
      <c r="D14" s="24">
        <v>0</v>
      </c>
      <c r="E14" s="24">
        <f t="shared" si="0"/>
        <v>65520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/>
      <c r="M14" s="24"/>
    </row>
    <row r="15" spans="1:26" ht="14.25" customHeight="1">
      <c r="A15" s="144" t="s">
        <v>101</v>
      </c>
      <c r="B15" s="42">
        <v>0.66</v>
      </c>
      <c r="C15" s="24">
        <f>48256*1.04</f>
        <v>50186.240000000005</v>
      </c>
      <c r="D15" s="24"/>
      <c r="E15" s="24">
        <f t="shared" si="0"/>
        <v>50186.240000000005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/>
      <c r="M15" s="24"/>
    </row>
    <row r="16" spans="1:26" ht="14.25" customHeight="1">
      <c r="A16" s="144" t="s">
        <v>102</v>
      </c>
      <c r="B16" s="22">
        <v>0.7</v>
      </c>
      <c r="C16" s="23">
        <v>76734</v>
      </c>
      <c r="D16" s="24">
        <v>1500</v>
      </c>
      <c r="E16" s="24">
        <f t="shared" si="0"/>
        <v>78234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</row>
    <row r="17" spans="1:13" ht="14.25" customHeight="1">
      <c r="A17" s="144" t="s">
        <v>103</v>
      </c>
      <c r="B17" s="22">
        <v>1</v>
      </c>
      <c r="C17" s="24">
        <f>88577*1.04</f>
        <v>92120.08</v>
      </c>
      <c r="D17" s="30"/>
      <c r="E17" s="24">
        <f t="shared" si="0"/>
        <v>92120.08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30"/>
      <c r="L17" s="30"/>
      <c r="M17" s="24"/>
    </row>
    <row r="18" spans="1:13" ht="14.25" customHeight="1">
      <c r="A18" s="144" t="s">
        <v>104</v>
      </c>
      <c r="B18" s="22">
        <v>0.2</v>
      </c>
      <c r="C18" s="24">
        <f>(77.71*1.04)*70</f>
        <v>5657.2879999999996</v>
      </c>
      <c r="D18" s="24">
        <v>0</v>
      </c>
      <c r="E18" s="24">
        <f t="shared" si="0"/>
        <v>5657.2879999999996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/>
      <c r="L18" s="24">
        <v>0</v>
      </c>
      <c r="M18" s="24"/>
    </row>
    <row r="19" spans="1:13" ht="14.25" customHeight="1">
      <c r="A19" s="144" t="s">
        <v>315</v>
      </c>
      <c r="B19" s="22">
        <v>1</v>
      </c>
      <c r="C19" s="24">
        <f>1260*52</f>
        <v>65520</v>
      </c>
      <c r="D19" s="24"/>
      <c r="E19" s="24">
        <f t="shared" si="0"/>
        <v>65520</v>
      </c>
      <c r="F19" s="24"/>
      <c r="G19" s="24"/>
      <c r="H19" s="24"/>
      <c r="I19" s="24"/>
      <c r="J19" s="24"/>
      <c r="K19" s="24"/>
      <c r="L19" s="24"/>
      <c r="M19" s="24"/>
    </row>
    <row r="20" spans="1:13" ht="14.25" customHeight="1">
      <c r="A20" s="21" t="s">
        <v>69</v>
      </c>
      <c r="B20" s="28">
        <v>0</v>
      </c>
      <c r="C20" s="30">
        <v>0</v>
      </c>
      <c r="D20" s="30"/>
      <c r="E20" s="30">
        <f t="shared" si="0"/>
        <v>0</v>
      </c>
      <c r="F20" s="30"/>
      <c r="G20" s="30"/>
      <c r="H20" s="30"/>
      <c r="I20" s="30"/>
      <c r="J20" s="30">
        <f>E20*L29</f>
        <v>0</v>
      </c>
      <c r="K20" s="30">
        <f>C20*L30</f>
        <v>0</v>
      </c>
      <c r="L20" s="24"/>
      <c r="M20" s="24"/>
    </row>
    <row r="21" spans="1:13" ht="14.25" customHeight="1">
      <c r="B21" s="22">
        <f>SUM(B20)</f>
        <v>0</v>
      </c>
      <c r="C21" s="24">
        <f>SUM(C20)</f>
        <v>0</v>
      </c>
      <c r="D21" s="24">
        <f>SUM(D13:D20)</f>
        <v>1500</v>
      </c>
      <c r="E21" s="24">
        <f t="shared" ref="E21:K21" si="1">SUM(E20)</f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24">
        <f t="shared" si="1"/>
        <v>0</v>
      </c>
      <c r="L21" s="24"/>
      <c r="M21" s="24"/>
    </row>
    <row r="22" spans="1:13" ht="14.25" customHeight="1">
      <c r="A22" s="32" t="s">
        <v>105</v>
      </c>
      <c r="B22" s="22">
        <f>B21+B18</f>
        <v>0.2</v>
      </c>
      <c r="C22" s="31">
        <f>SUM(C14:C20)</f>
        <v>355737.60800000001</v>
      </c>
      <c r="D22" s="31">
        <f>D21+D18</f>
        <v>1500</v>
      </c>
      <c r="E22" s="31">
        <f>SUM(E14:E20)</f>
        <v>357237.60800000001</v>
      </c>
      <c r="F22" s="31">
        <f t="shared" ref="F22:L22" si="2">F21+F18</f>
        <v>0</v>
      </c>
      <c r="G22" s="31">
        <f t="shared" si="2"/>
        <v>0</v>
      </c>
      <c r="H22" s="31">
        <f t="shared" si="2"/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24"/>
    </row>
    <row r="23" spans="1:13" ht="14.25" customHeight="1">
      <c r="A23" s="32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24"/>
    </row>
    <row r="24" spans="1:13" ht="14.25" customHeight="1">
      <c r="C24" s="24"/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13" ht="14.25" customHeight="1">
      <c r="A25" s="21" t="s">
        <v>106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13" ht="14.25" customHeight="1">
      <c r="A26" s="21" t="s">
        <v>72</v>
      </c>
      <c r="B26" s="21" t="s">
        <v>69</v>
      </c>
      <c r="C26" s="34">
        <f>(B12*10000)*0.014</f>
        <v>952</v>
      </c>
      <c r="D26" s="33"/>
      <c r="E26" s="33" t="s">
        <v>73</v>
      </c>
      <c r="F26" s="24">
        <v>100</v>
      </c>
      <c r="G26" s="35">
        <f>C12</f>
        <v>314684.18000000005</v>
      </c>
      <c r="J26" s="33"/>
      <c r="K26" s="33" t="s">
        <v>74</v>
      </c>
      <c r="L26" s="21">
        <v>0.09</v>
      </c>
    </row>
    <row r="27" spans="1:13" ht="18" customHeight="1">
      <c r="A27" s="21" t="s">
        <v>75</v>
      </c>
      <c r="C27" s="34">
        <f>C12*0.0065</f>
        <v>2045.4471700000001</v>
      </c>
      <c r="E27" s="21" t="s">
        <v>76</v>
      </c>
      <c r="F27" s="21">
        <v>200</v>
      </c>
      <c r="G27" s="35">
        <f>F12+G12+H12+I12</f>
        <v>118595.57272</v>
      </c>
      <c r="K27" s="21" t="s">
        <v>77</v>
      </c>
      <c r="L27" s="21">
        <v>2.1600000000000001E-2</v>
      </c>
    </row>
    <row r="28" spans="1:13" ht="14.25" customHeight="1">
      <c r="A28" s="21" t="s">
        <v>78</v>
      </c>
      <c r="C28" s="34">
        <v>25000</v>
      </c>
      <c r="E28" s="21" t="s">
        <v>79</v>
      </c>
      <c r="F28" s="21">
        <v>300</v>
      </c>
      <c r="G28" s="35">
        <f>C30</f>
        <v>385235.05517000001</v>
      </c>
      <c r="K28" s="21" t="s">
        <v>80</v>
      </c>
      <c r="L28" s="21">
        <v>5.7999999999999996E-3</v>
      </c>
    </row>
    <row r="29" spans="1:13" ht="14.25" customHeight="1">
      <c r="A29" s="21" t="s">
        <v>107</v>
      </c>
      <c r="C29" s="45">
        <f>E22</f>
        <v>357237.60800000001</v>
      </c>
      <c r="E29" s="21" t="s">
        <v>82</v>
      </c>
      <c r="F29" s="21">
        <v>400</v>
      </c>
      <c r="G29" s="35">
        <f>C31</f>
        <v>1600</v>
      </c>
      <c r="K29" s="21" t="s">
        <v>83</v>
      </c>
      <c r="L29" s="21">
        <v>1.4500000000000001E-2</v>
      </c>
    </row>
    <row r="30" spans="1:13" ht="14.25" customHeight="1">
      <c r="A30" s="32" t="s">
        <v>84</v>
      </c>
      <c r="C30" s="35">
        <f>SUM(C26:C29)</f>
        <v>385235.05517000001</v>
      </c>
      <c r="E30" s="38" t="s">
        <v>85</v>
      </c>
      <c r="F30" s="38">
        <v>500</v>
      </c>
      <c r="G30" s="39">
        <f>C32</f>
        <v>3600</v>
      </c>
      <c r="K30" s="21" t="s">
        <v>86</v>
      </c>
      <c r="L30" s="21">
        <v>6.2E-2</v>
      </c>
    </row>
    <row r="31" spans="1:13" ht="14.25" customHeight="1">
      <c r="A31" s="32" t="s">
        <v>108</v>
      </c>
      <c r="C31" s="35">
        <v>1600</v>
      </c>
      <c r="K31" s="21" t="s">
        <v>88</v>
      </c>
      <c r="L31" s="21">
        <f>SSW!L31</f>
        <v>8000</v>
      </c>
    </row>
    <row r="32" spans="1:13" ht="14.25" customHeight="1">
      <c r="A32" s="32" t="s">
        <v>109</v>
      </c>
      <c r="C32" s="35">
        <v>3600</v>
      </c>
      <c r="E32" s="32" t="s">
        <v>110</v>
      </c>
      <c r="F32" s="32"/>
      <c r="G32" s="40">
        <f>SUM(G26:G31)</f>
        <v>823714.80789000005</v>
      </c>
      <c r="K32" s="21" t="s">
        <v>111</v>
      </c>
      <c r="L32" s="21">
        <v>0.1275</v>
      </c>
    </row>
    <row r="33" spans="11:12" ht="14.25" customHeight="1">
      <c r="K33" s="21" t="s">
        <v>91</v>
      </c>
      <c r="L33" s="21">
        <v>6.4999999999999997E-3</v>
      </c>
    </row>
    <row r="34" spans="11:12" ht="14.25" customHeight="1">
      <c r="K34" s="21" t="s">
        <v>92</v>
      </c>
      <c r="L34" s="21">
        <v>1.4E-2</v>
      </c>
    </row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topLeftCell="A4" workbookViewId="0">
      <selection activeCell="C10" sqref="C10"/>
    </sheetView>
  </sheetViews>
  <sheetFormatPr defaultColWidth="12.625" defaultRowHeight="15" customHeight="1"/>
  <cols>
    <col min="1" max="1" width="16.375" customWidth="1"/>
    <col min="2" max="2" width="3.875" customWidth="1"/>
    <col min="3" max="3" width="8.875" customWidth="1"/>
    <col min="4" max="4" width="7" customWidth="1"/>
    <col min="5" max="5" width="8.75" customWidth="1"/>
    <col min="6" max="6" width="9.375" customWidth="1"/>
    <col min="7" max="7" width="8.2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19" t="s">
        <v>52</v>
      </c>
      <c r="J1" s="20" t="s">
        <v>53</v>
      </c>
      <c r="K1" s="20" t="s">
        <v>54</v>
      </c>
      <c r="L1" s="20" t="s">
        <v>55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4" t="s">
        <v>112</v>
      </c>
      <c r="B2" s="22">
        <v>0.8</v>
      </c>
      <c r="C2" s="155">
        <f>(54706*1.04)+(54706*0.0075)+250</f>
        <v>57554.535000000003</v>
      </c>
      <c r="D2" s="23">
        <v>0</v>
      </c>
      <c r="E2" s="24">
        <f t="shared" ref="E2:E20" si="0">D2+C2</f>
        <v>57554.535000000003</v>
      </c>
      <c r="F2" s="24">
        <f>C2*L26</f>
        <v>5179.9081500000002</v>
      </c>
      <c r="G2" s="24">
        <f>C2*L27</f>
        <v>1243.1779560000002</v>
      </c>
      <c r="H2" s="24">
        <f>C2*L28</f>
        <v>333.816303</v>
      </c>
      <c r="I2" s="24">
        <f t="shared" ref="I2:I16" si="1">C2+F2+G2+H2</f>
        <v>64311.437409000006</v>
      </c>
      <c r="J2" s="24">
        <f>C2*L29</f>
        <v>834.54075750000004</v>
      </c>
      <c r="K2" s="24"/>
      <c r="L2" s="131">
        <f>8000*0.8</f>
        <v>6400</v>
      </c>
      <c r="M2" s="24"/>
    </row>
    <row r="3" spans="1:26" ht="14.25" customHeight="1">
      <c r="A3" s="146" t="s">
        <v>113</v>
      </c>
      <c r="B3" s="26">
        <v>1</v>
      </c>
      <c r="C3" s="155">
        <f>(75924*1.04)+(75924*0.015)</f>
        <v>80099.820000000007</v>
      </c>
      <c r="D3" s="24">
        <v>0</v>
      </c>
      <c r="E3" s="24">
        <f t="shared" si="0"/>
        <v>80099.820000000007</v>
      </c>
      <c r="F3" s="24">
        <f>C3*L26</f>
        <v>7208.9838</v>
      </c>
      <c r="G3" s="24">
        <f>C3*L27</f>
        <v>1730.1561120000003</v>
      </c>
      <c r="H3" s="24">
        <f>C3*L28</f>
        <v>464.57895600000001</v>
      </c>
      <c r="I3" s="24">
        <f t="shared" si="1"/>
        <v>89503.538868000003</v>
      </c>
      <c r="J3" s="24">
        <f>C3*L29</f>
        <v>1161.4473900000003</v>
      </c>
      <c r="K3" s="24"/>
      <c r="L3" s="24">
        <v>8000</v>
      </c>
      <c r="M3" s="24"/>
      <c r="N3" s="132">
        <f>SUM(I3:M3)*0.4</f>
        <v>39465.994503200003</v>
      </c>
    </row>
    <row r="4" spans="1:26" ht="14.25" customHeight="1">
      <c r="A4" s="144" t="s">
        <v>114</v>
      </c>
      <c r="B4" s="22">
        <v>1</v>
      </c>
      <c r="C4" s="155">
        <f>(86775*1.04)+(86775*0.01)+500+250</f>
        <v>91863.75</v>
      </c>
      <c r="D4" s="24">
        <v>0</v>
      </c>
      <c r="E4" s="24">
        <f t="shared" si="0"/>
        <v>91863.75</v>
      </c>
      <c r="F4" s="24">
        <f>C4*L26</f>
        <v>8267.7374999999993</v>
      </c>
      <c r="G4" s="24">
        <f>C4*L27</f>
        <v>1984.2570000000001</v>
      </c>
      <c r="H4" s="24">
        <f>C4*L28</f>
        <v>532.80975000000001</v>
      </c>
      <c r="I4" s="24">
        <f t="shared" si="1"/>
        <v>102648.55425</v>
      </c>
      <c r="J4" s="24">
        <f>C4*L29</f>
        <v>1332.024375</v>
      </c>
      <c r="K4" s="24"/>
      <c r="L4" s="24">
        <v>8000</v>
      </c>
      <c r="M4" s="24"/>
      <c r="N4" s="132">
        <f>SUM(I4:M4)*0.1</f>
        <v>11198.0578625</v>
      </c>
    </row>
    <row r="5" spans="1:26" ht="14.25" customHeight="1">
      <c r="A5" s="144" t="s">
        <v>115</v>
      </c>
      <c r="B5" s="22">
        <v>1</v>
      </c>
      <c r="C5" s="155">
        <f>(59449*1.04)+500</f>
        <v>62326.96</v>
      </c>
      <c r="D5" s="23">
        <v>0</v>
      </c>
      <c r="E5" s="24">
        <f t="shared" si="0"/>
        <v>62326.96</v>
      </c>
      <c r="F5" s="24">
        <f>C5*L26</f>
        <v>5609.4263999999994</v>
      </c>
      <c r="G5" s="24">
        <f>C5*L27</f>
        <v>1346.262336</v>
      </c>
      <c r="H5" s="24">
        <f>C5*L28</f>
        <v>361.49636799999996</v>
      </c>
      <c r="I5" s="24">
        <f t="shared" si="1"/>
        <v>69644.145103999996</v>
      </c>
      <c r="J5" s="24">
        <f>C5*L29</f>
        <v>903.74092000000007</v>
      </c>
      <c r="K5" s="24"/>
      <c r="L5" s="24">
        <v>8000</v>
      </c>
      <c r="M5" s="24"/>
      <c r="N5" s="132">
        <f>SUM(I5:M5)*0.1</f>
        <v>7854.7886023999999</v>
      </c>
    </row>
    <row r="6" spans="1:26" ht="14.25" customHeight="1">
      <c r="A6" s="147" t="s">
        <v>116</v>
      </c>
      <c r="B6" s="22">
        <v>1</v>
      </c>
      <c r="C6" s="155">
        <f>(85620*1.0225)+(85620*0.0075)+(85620*0.0075)+(85620*0.01)+500+500+250-179.95</f>
        <v>90756.999999999985</v>
      </c>
      <c r="D6" s="24">
        <v>0</v>
      </c>
      <c r="E6" s="24">
        <f t="shared" si="0"/>
        <v>90756.999999999985</v>
      </c>
      <c r="F6" s="24">
        <f>C6*L26</f>
        <v>8168.1299999999983</v>
      </c>
      <c r="G6" s="24">
        <f>C6*L27</f>
        <v>1960.3511999999998</v>
      </c>
      <c r="H6" s="24">
        <f>C6*L28</f>
        <v>526.39059999999984</v>
      </c>
      <c r="I6" s="24">
        <f t="shared" si="1"/>
        <v>101411.87179999999</v>
      </c>
      <c r="J6" s="24">
        <f>C6*L29</f>
        <v>1315.9764999999998</v>
      </c>
      <c r="K6" s="24"/>
      <c r="L6" s="24">
        <v>8000</v>
      </c>
      <c r="M6" s="24"/>
    </row>
    <row r="7" spans="1:26" ht="14.25" customHeight="1">
      <c r="A7" s="144" t="s">
        <v>117</v>
      </c>
      <c r="B7" s="22">
        <v>1</v>
      </c>
      <c r="C7" s="155">
        <f>(54466*1.04)+(54466*0.005)+(54466*0.0075)+250</f>
        <v>57575.465000000004</v>
      </c>
      <c r="D7" s="24">
        <v>3600</v>
      </c>
      <c r="E7" s="24">
        <f t="shared" si="0"/>
        <v>61175.465000000004</v>
      </c>
      <c r="F7" s="24">
        <f>C7*L26</f>
        <v>5181.7918500000005</v>
      </c>
      <c r="G7" s="24">
        <f>C7*L27</f>
        <v>1243.6300440000002</v>
      </c>
      <c r="H7" s="24">
        <f>C7*L28</f>
        <v>333.93769700000001</v>
      </c>
      <c r="I7" s="24">
        <f t="shared" si="1"/>
        <v>64334.824591000004</v>
      </c>
      <c r="J7" s="24">
        <f>C7*L29</f>
        <v>834.84424250000006</v>
      </c>
      <c r="K7" s="24"/>
      <c r="L7" s="24">
        <v>8000</v>
      </c>
      <c r="M7" s="24"/>
    </row>
    <row r="8" spans="1:26" ht="14.25" customHeight="1">
      <c r="A8" s="144" t="s">
        <v>118</v>
      </c>
      <c r="B8" s="22">
        <v>0</v>
      </c>
      <c r="C8" s="155">
        <f>(68063*1.04)+500+(68063*0.0075)</f>
        <v>71795.992500000008</v>
      </c>
      <c r="D8" s="24">
        <v>3600</v>
      </c>
      <c r="E8" s="24">
        <f t="shared" si="0"/>
        <v>75395.992500000008</v>
      </c>
      <c r="F8" s="24">
        <f>C8*L26</f>
        <v>6461.6393250000001</v>
      </c>
      <c r="G8" s="24">
        <f>C8*L27</f>
        <v>1550.7934380000002</v>
      </c>
      <c r="H8" s="24">
        <f>C8*L28</f>
        <v>416.41675650000002</v>
      </c>
      <c r="I8" s="24">
        <f t="shared" si="1"/>
        <v>80224.842019499993</v>
      </c>
      <c r="J8" s="24">
        <f>C8*L29</f>
        <v>1041.0418912500002</v>
      </c>
      <c r="K8" s="24"/>
      <c r="L8" s="24">
        <v>8000</v>
      </c>
      <c r="M8" s="24"/>
    </row>
    <row r="9" spans="1:26" ht="14.25" customHeight="1">
      <c r="A9" s="144" t="s">
        <v>119</v>
      </c>
      <c r="B9" s="22">
        <v>1</v>
      </c>
      <c r="C9" s="155">
        <f>73279*1.04</f>
        <v>76210.16</v>
      </c>
      <c r="D9" s="24">
        <v>0</v>
      </c>
      <c r="E9" s="24">
        <f t="shared" si="0"/>
        <v>76210.16</v>
      </c>
      <c r="F9" s="24">
        <f>C9*L26</f>
        <v>6858.9143999999997</v>
      </c>
      <c r="G9" s="24">
        <f>C9*L27</f>
        <v>1646.1394560000001</v>
      </c>
      <c r="H9" s="24">
        <f>C9*L28</f>
        <v>442.01892800000002</v>
      </c>
      <c r="I9" s="24">
        <f t="shared" si="1"/>
        <v>85157.232784000007</v>
      </c>
      <c r="J9" s="24">
        <f>C9*L29</f>
        <v>1105.0473200000001</v>
      </c>
      <c r="K9" s="24"/>
      <c r="L9" s="24">
        <v>8000</v>
      </c>
      <c r="M9" s="24"/>
    </row>
    <row r="10" spans="1:26" ht="14.25" customHeight="1">
      <c r="A10" s="144" t="s">
        <v>120</v>
      </c>
      <c r="B10" s="22">
        <v>1</v>
      </c>
      <c r="C10" s="155">
        <f>(57960*1.04)+(57960*0.0075)+(57960*0.0025)+500</f>
        <v>61358</v>
      </c>
      <c r="D10" s="24">
        <v>0</v>
      </c>
      <c r="E10" s="24">
        <f t="shared" si="0"/>
        <v>61358</v>
      </c>
      <c r="F10" s="24">
        <f>C10*L26</f>
        <v>5522.2199999999993</v>
      </c>
      <c r="G10" s="24">
        <f>C10*L27</f>
        <v>1325.3328000000001</v>
      </c>
      <c r="H10" s="24">
        <f>C10*L28</f>
        <v>355.87639999999999</v>
      </c>
      <c r="I10" s="24">
        <f t="shared" si="1"/>
        <v>68561.429199999999</v>
      </c>
      <c r="J10" s="24">
        <f>C10*L29</f>
        <v>889.69100000000003</v>
      </c>
      <c r="K10" s="24"/>
      <c r="L10" s="24">
        <v>8000</v>
      </c>
      <c r="M10" s="24"/>
    </row>
    <row r="11" spans="1:26" ht="14.25" customHeight="1">
      <c r="B11" s="22"/>
      <c r="C11" s="24"/>
      <c r="D11" s="24">
        <v>0</v>
      </c>
      <c r="E11" s="24">
        <f t="shared" si="0"/>
        <v>0</v>
      </c>
      <c r="F11" s="24">
        <f>C11*L27</f>
        <v>0</v>
      </c>
      <c r="G11" s="24">
        <f>C11*L28</f>
        <v>0</v>
      </c>
      <c r="H11" s="24">
        <f>C11*L29</f>
        <v>0</v>
      </c>
      <c r="I11" s="24">
        <f t="shared" si="1"/>
        <v>0</v>
      </c>
      <c r="J11" s="24">
        <f>C11*L29</f>
        <v>0</v>
      </c>
      <c r="K11" s="24"/>
      <c r="L11" s="24"/>
      <c r="M11" s="24"/>
    </row>
    <row r="12" spans="1:26" ht="14.25" customHeight="1">
      <c r="A12" s="144" t="s">
        <v>121</v>
      </c>
      <c r="B12" s="22">
        <v>1</v>
      </c>
      <c r="C12" s="155">
        <v>47113</v>
      </c>
      <c r="D12" s="24">
        <v>3600</v>
      </c>
      <c r="E12" s="24">
        <f t="shared" si="0"/>
        <v>50713</v>
      </c>
      <c r="F12" s="24">
        <f>C12*L26</f>
        <v>4240.17</v>
      </c>
      <c r="G12" s="24">
        <f>C12*L27</f>
        <v>1017.6408</v>
      </c>
      <c r="H12" s="24">
        <f>C12*L28</f>
        <v>273.25540000000001</v>
      </c>
      <c r="I12" s="24">
        <f>C12+F12+G12+H12</f>
        <v>52644.066200000001</v>
      </c>
      <c r="J12" s="24">
        <f>C12*L29</f>
        <v>683.13850000000002</v>
      </c>
      <c r="K12" s="24">
        <v>0</v>
      </c>
      <c r="L12" s="24">
        <v>8000</v>
      </c>
      <c r="M12" s="24"/>
    </row>
    <row r="13" spans="1:26" ht="14.25" customHeight="1">
      <c r="B13" s="22">
        <v>1</v>
      </c>
      <c r="C13" s="24"/>
      <c r="D13" s="24">
        <v>0</v>
      </c>
      <c r="E13" s="24">
        <f t="shared" si="0"/>
        <v>0</v>
      </c>
      <c r="F13" s="24">
        <v>0</v>
      </c>
      <c r="G13" s="24">
        <v>0</v>
      </c>
      <c r="H13" s="24">
        <v>0</v>
      </c>
      <c r="I13" s="24">
        <f t="shared" si="1"/>
        <v>0</v>
      </c>
      <c r="J13" s="24">
        <f>C13*L29</f>
        <v>0</v>
      </c>
      <c r="K13" s="24"/>
      <c r="L13" s="24"/>
      <c r="M13" s="24"/>
    </row>
    <row r="14" spans="1:26" ht="14.25" customHeight="1">
      <c r="B14" s="22">
        <v>0</v>
      </c>
      <c r="C14" s="24">
        <v>0</v>
      </c>
      <c r="D14" s="24">
        <v>0</v>
      </c>
      <c r="E14" s="24">
        <f t="shared" si="0"/>
        <v>0</v>
      </c>
      <c r="F14" s="24">
        <f>C14*L26</f>
        <v>0</v>
      </c>
      <c r="G14" s="24">
        <f>C14*L27</f>
        <v>0</v>
      </c>
      <c r="H14" s="24">
        <f>C14*L28</f>
        <v>0</v>
      </c>
      <c r="I14" s="24">
        <f t="shared" si="1"/>
        <v>0</v>
      </c>
      <c r="J14" s="24">
        <f>C14*L29</f>
        <v>0</v>
      </c>
      <c r="K14" s="24"/>
      <c r="L14" s="24"/>
      <c r="M14" s="24"/>
    </row>
    <row r="15" spans="1:26" ht="14.25" customHeight="1">
      <c r="A15" s="21" t="s">
        <v>69</v>
      </c>
      <c r="B15" s="22">
        <v>0</v>
      </c>
      <c r="C15" s="24">
        <v>0</v>
      </c>
      <c r="D15" s="24">
        <v>0</v>
      </c>
      <c r="E15" s="24">
        <f t="shared" si="0"/>
        <v>0</v>
      </c>
      <c r="F15" s="24">
        <f>C15*L26</f>
        <v>0</v>
      </c>
      <c r="G15" s="24">
        <f>C15*L27</f>
        <v>0</v>
      </c>
      <c r="H15" s="24">
        <f>C15*L28</f>
        <v>0</v>
      </c>
      <c r="I15" s="24">
        <f t="shared" si="1"/>
        <v>0</v>
      </c>
      <c r="J15" s="24">
        <f>C15*L29</f>
        <v>0</v>
      </c>
      <c r="K15" s="24"/>
      <c r="L15" s="24"/>
      <c r="M15" s="24"/>
    </row>
    <row r="16" spans="1:26" ht="14.25" customHeight="1">
      <c r="A16" s="21" t="s">
        <v>69</v>
      </c>
      <c r="B16" s="22">
        <v>0</v>
      </c>
      <c r="C16" s="24">
        <v>0</v>
      </c>
      <c r="D16" s="24">
        <v>0</v>
      </c>
      <c r="E16" s="24">
        <f t="shared" si="0"/>
        <v>0</v>
      </c>
      <c r="F16" s="30">
        <f>C16*L26</f>
        <v>0</v>
      </c>
      <c r="G16" s="30">
        <f>C16*L27</f>
        <v>0</v>
      </c>
      <c r="H16" s="30">
        <f>C16*L28</f>
        <v>0</v>
      </c>
      <c r="I16" s="30">
        <f t="shared" si="1"/>
        <v>0</v>
      </c>
      <c r="J16" s="30">
        <f>C16*L29</f>
        <v>0</v>
      </c>
      <c r="K16" s="30"/>
      <c r="L16" s="30"/>
      <c r="M16" s="24"/>
    </row>
    <row r="17" spans="1:15" ht="14.25" customHeight="1">
      <c r="B17" s="22">
        <f>SUM(B2:B16)</f>
        <v>9.8000000000000007</v>
      </c>
      <c r="C17" s="31">
        <f>SUM(C2:C16)</f>
        <v>696654.6825</v>
      </c>
      <c r="D17" s="31">
        <f>SUM(D2:D16)</f>
        <v>10800</v>
      </c>
      <c r="E17" s="31">
        <f t="shared" si="0"/>
        <v>707454.6825</v>
      </c>
      <c r="F17" s="31">
        <f>SUM(F2:F16)</f>
        <v>62698.921425</v>
      </c>
      <c r="G17" s="31">
        <f>SUM(G2:G16)</f>
        <v>15047.741142000001</v>
      </c>
      <c r="H17" s="31">
        <f>SUM(H2:H16)</f>
        <v>4040.5971584999993</v>
      </c>
      <c r="I17" s="31">
        <f>SUM(I2:I16)</f>
        <v>778441.94222550001</v>
      </c>
      <c r="J17" s="31">
        <f>SUM(J2:J16)</f>
        <v>10101.492896250002</v>
      </c>
      <c r="K17" s="24"/>
      <c r="L17" s="31">
        <f>B17*L31</f>
        <v>78400</v>
      </c>
      <c r="M17" s="24"/>
    </row>
    <row r="18" spans="1:15" ht="14.25" customHeight="1">
      <c r="A18" s="25" t="s">
        <v>122</v>
      </c>
      <c r="B18" s="22"/>
      <c r="C18" s="23"/>
      <c r="D18" s="24"/>
      <c r="E18" s="24">
        <f t="shared" si="0"/>
        <v>0</v>
      </c>
      <c r="F18" s="24"/>
      <c r="G18" s="24"/>
      <c r="H18" s="24"/>
      <c r="I18" s="24"/>
      <c r="J18" s="24"/>
      <c r="K18" s="24"/>
      <c r="L18" s="24"/>
      <c r="M18" s="24"/>
    </row>
    <row r="19" spans="1:15" ht="14.25" customHeight="1">
      <c r="A19" s="25" t="s">
        <v>307</v>
      </c>
      <c r="B19" s="26">
        <v>1</v>
      </c>
      <c r="C19" s="24">
        <v>30000</v>
      </c>
      <c r="D19" s="24"/>
      <c r="E19" s="24">
        <f t="shared" si="0"/>
        <v>30000</v>
      </c>
      <c r="F19" s="24"/>
      <c r="G19" s="24"/>
      <c r="H19" s="24"/>
      <c r="I19" s="24"/>
      <c r="J19" s="24">
        <f>E19*L29</f>
        <v>435</v>
      </c>
      <c r="K19" s="24">
        <f>C19*L30</f>
        <v>1860</v>
      </c>
      <c r="L19" s="24"/>
      <c r="M19" s="24"/>
    </row>
    <row r="20" spans="1:15" ht="14.25" customHeight="1">
      <c r="A20" s="25" t="s">
        <v>308</v>
      </c>
      <c r="B20" s="46">
        <v>1</v>
      </c>
      <c r="C20" s="29">
        <v>30000</v>
      </c>
      <c r="D20" s="30"/>
      <c r="E20" s="30">
        <f t="shared" si="0"/>
        <v>30000</v>
      </c>
      <c r="F20" s="30"/>
      <c r="G20" s="30"/>
      <c r="H20" s="30"/>
      <c r="I20" s="30"/>
      <c r="J20" s="30">
        <f>E20*L29</f>
        <v>435</v>
      </c>
      <c r="K20" s="30">
        <f>C20*L30</f>
        <v>1860</v>
      </c>
      <c r="L20" s="24"/>
      <c r="M20" s="24"/>
    </row>
    <row r="21" spans="1:15" ht="14.25" customHeight="1">
      <c r="B21" s="22">
        <f t="shared" ref="B21:K21" si="2">SUM(B19:B20)</f>
        <v>2</v>
      </c>
      <c r="C21" s="24">
        <f t="shared" si="2"/>
        <v>60000</v>
      </c>
      <c r="D21" s="24">
        <f t="shared" si="2"/>
        <v>0</v>
      </c>
      <c r="E21" s="24">
        <f t="shared" si="2"/>
        <v>60000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870</v>
      </c>
      <c r="K21" s="24">
        <f t="shared" si="2"/>
        <v>3720</v>
      </c>
      <c r="L21" s="24"/>
      <c r="M21" s="24"/>
    </row>
    <row r="22" spans="1:15" ht="14.25" customHeight="1">
      <c r="A22" s="32" t="s">
        <v>70</v>
      </c>
      <c r="B22" s="22">
        <f t="shared" ref="B22:L22" si="3">B21+B17</f>
        <v>11.8</v>
      </c>
      <c r="C22" s="31">
        <f t="shared" si="3"/>
        <v>756654.6825</v>
      </c>
      <c r="D22" s="31">
        <f t="shared" si="3"/>
        <v>10800</v>
      </c>
      <c r="E22" s="31">
        <f t="shared" si="3"/>
        <v>767454.6825</v>
      </c>
      <c r="F22" s="31">
        <f t="shared" si="3"/>
        <v>62698.921425</v>
      </c>
      <c r="G22" s="31">
        <f t="shared" si="3"/>
        <v>15047.741142000001</v>
      </c>
      <c r="H22" s="31">
        <f t="shared" si="3"/>
        <v>4040.5971584999993</v>
      </c>
      <c r="I22" s="31">
        <f t="shared" si="3"/>
        <v>778441.94222550001</v>
      </c>
      <c r="J22" s="31">
        <f t="shared" si="3"/>
        <v>10971.492896250002</v>
      </c>
      <c r="K22" s="31">
        <f t="shared" si="3"/>
        <v>3720</v>
      </c>
      <c r="L22" s="31">
        <f t="shared" si="3"/>
        <v>78400</v>
      </c>
      <c r="M22" s="24"/>
    </row>
    <row r="23" spans="1:15" ht="14.25" customHeight="1">
      <c r="C23" s="24"/>
      <c r="D23" s="24"/>
      <c r="E23" s="24" t="s">
        <v>69</v>
      </c>
      <c r="F23" s="24"/>
      <c r="G23" s="24"/>
      <c r="H23" s="24"/>
      <c r="I23" s="24"/>
      <c r="J23" s="24"/>
      <c r="K23" s="24"/>
      <c r="L23" s="24"/>
      <c r="M23" s="24"/>
    </row>
    <row r="24" spans="1:15" ht="14.25" customHeight="1">
      <c r="A24" s="21" t="s">
        <v>123</v>
      </c>
      <c r="D24" s="33"/>
      <c r="E24" s="33" t="s">
        <v>69</v>
      </c>
      <c r="F24" s="33"/>
      <c r="G24" s="33"/>
      <c r="H24" s="33"/>
      <c r="I24" s="33"/>
      <c r="J24" s="33"/>
      <c r="K24" s="33"/>
      <c r="L24" s="33"/>
    </row>
    <row r="25" spans="1:15" ht="14.25" customHeight="1">
      <c r="A25" s="145" t="s">
        <v>305</v>
      </c>
      <c r="B25" s="21">
        <v>0.2</v>
      </c>
      <c r="C25" s="21">
        <v>18000</v>
      </c>
      <c r="D25" s="33"/>
      <c r="E25" s="33"/>
      <c r="F25" s="33"/>
      <c r="G25" s="33"/>
      <c r="H25" s="33"/>
      <c r="I25" s="33"/>
      <c r="J25" s="33"/>
      <c r="K25" s="33"/>
      <c r="L25" s="33"/>
      <c r="N25" s="130">
        <v>18000</v>
      </c>
      <c r="O25" s="130" t="s">
        <v>291</v>
      </c>
    </row>
    <row r="26" spans="1:15" ht="14.25" customHeight="1">
      <c r="A26" s="21" t="s">
        <v>72</v>
      </c>
      <c r="B26" s="21" t="s">
        <v>69</v>
      </c>
      <c r="C26" s="34">
        <f>(B22*10000)*0.014</f>
        <v>1652</v>
      </c>
      <c r="D26" s="33"/>
      <c r="E26" s="33" t="s">
        <v>73</v>
      </c>
      <c r="F26" s="24">
        <v>100</v>
      </c>
      <c r="G26" s="35">
        <f>E22</f>
        <v>767454.6825</v>
      </c>
      <c r="J26" s="33"/>
      <c r="K26" s="33" t="s">
        <v>74</v>
      </c>
      <c r="L26" s="21">
        <v>0.09</v>
      </c>
    </row>
    <row r="27" spans="1:15" ht="14.25" customHeight="1">
      <c r="A27" s="21" t="s">
        <v>75</v>
      </c>
      <c r="C27" s="34">
        <f>C22*0.0065</f>
        <v>4918.2554362499995</v>
      </c>
      <c r="E27" s="21" t="s">
        <v>76</v>
      </c>
      <c r="F27" s="21">
        <v>200</v>
      </c>
      <c r="G27" s="35">
        <f>F22+G22+H22+J22+K22+L22</f>
        <v>174878.75262175</v>
      </c>
      <c r="K27" s="21" t="s">
        <v>77</v>
      </c>
      <c r="L27" s="21">
        <v>2.1600000000000001E-2</v>
      </c>
    </row>
    <row r="28" spans="1:15" ht="14.25" customHeight="1">
      <c r="A28" s="21" t="s">
        <v>78</v>
      </c>
      <c r="C28" s="36">
        <v>24000</v>
      </c>
      <c r="E28" s="21" t="s">
        <v>79</v>
      </c>
      <c r="F28" s="21">
        <v>300</v>
      </c>
      <c r="G28" s="35">
        <f>C30</f>
        <v>68570.255436250009</v>
      </c>
      <c r="K28" s="21" t="s">
        <v>80</v>
      </c>
      <c r="L28" s="21">
        <v>5.7999999999999996E-3</v>
      </c>
    </row>
    <row r="29" spans="1:15" ht="14.25" customHeight="1">
      <c r="A29" s="21" t="s">
        <v>124</v>
      </c>
      <c r="C29" s="37">
        <v>20000</v>
      </c>
      <c r="E29" s="21" t="s">
        <v>82</v>
      </c>
      <c r="F29" s="21">
        <v>400</v>
      </c>
      <c r="G29" s="35">
        <v>14000</v>
      </c>
      <c r="K29" s="21" t="s">
        <v>83</v>
      </c>
      <c r="L29" s="21">
        <v>1.4500000000000001E-2</v>
      </c>
    </row>
    <row r="30" spans="1:15" ht="14.25" customHeight="1">
      <c r="A30" s="32" t="s">
        <v>84</v>
      </c>
      <c r="C30" s="35">
        <f>SUM(C25:C29)</f>
        <v>68570.255436250009</v>
      </c>
      <c r="E30" s="38" t="s">
        <v>85</v>
      </c>
      <c r="F30" s="38">
        <v>500</v>
      </c>
      <c r="G30" s="39">
        <f>C32</f>
        <v>3600</v>
      </c>
      <c r="K30" s="21" t="s">
        <v>86</v>
      </c>
      <c r="L30" s="21">
        <v>6.2E-2</v>
      </c>
    </row>
    <row r="31" spans="1:15" ht="14.25" customHeight="1">
      <c r="A31" s="32" t="s">
        <v>125</v>
      </c>
      <c r="C31" s="35">
        <v>7000</v>
      </c>
      <c r="K31" s="21" t="s">
        <v>88</v>
      </c>
      <c r="L31" s="47">
        <f>SSW!L31</f>
        <v>8000</v>
      </c>
    </row>
    <row r="32" spans="1:15" ht="14.25" customHeight="1">
      <c r="A32" s="32" t="s">
        <v>126</v>
      </c>
      <c r="C32" s="35">
        <v>3600</v>
      </c>
      <c r="E32" s="32" t="s">
        <v>90</v>
      </c>
      <c r="F32" s="32"/>
      <c r="G32" s="40">
        <f>SUM(G26:G31)</f>
        <v>1028503.690558</v>
      </c>
      <c r="K32" s="21" t="s">
        <v>91</v>
      </c>
      <c r="L32" s="21">
        <v>6.4999999999999997E-3</v>
      </c>
    </row>
    <row r="33" spans="11:12" ht="14.25" customHeight="1">
      <c r="K33" s="21" t="s">
        <v>92</v>
      </c>
      <c r="L33" s="21">
        <v>1.4E-2</v>
      </c>
    </row>
    <row r="34" spans="11:12" ht="14.25" customHeight="1"/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D10" sqref="D10"/>
    </sheetView>
  </sheetViews>
  <sheetFormatPr defaultColWidth="12.625" defaultRowHeight="15" customHeight="1"/>
  <cols>
    <col min="1" max="1" width="16.375" customWidth="1"/>
    <col min="2" max="2" width="3.75" customWidth="1"/>
    <col min="3" max="3" width="7.5" customWidth="1"/>
    <col min="4" max="4" width="5.375" customWidth="1"/>
    <col min="5" max="5" width="7.375" customWidth="1"/>
    <col min="6" max="6" width="7.125" customWidth="1"/>
    <col min="7" max="7" width="7.875" customWidth="1"/>
    <col min="8" max="8" width="5.125" customWidth="1"/>
    <col min="9" max="9" width="7.75" customWidth="1"/>
    <col min="10" max="10" width="7" customWidth="1"/>
    <col min="11" max="11" width="7.375" customWidth="1"/>
    <col min="12" max="12" width="8" customWidth="1"/>
    <col min="13" max="13" width="11.75" customWidth="1"/>
    <col min="14" max="14" width="10.875" customWidth="1"/>
    <col min="15" max="15" width="5.5" customWidth="1"/>
    <col min="16" max="16" width="10.5" customWidth="1"/>
    <col min="17" max="17" width="2.5" customWidth="1"/>
    <col min="18" max="18" width="10.25" customWidth="1"/>
    <col min="19" max="20" width="7.625" customWidth="1"/>
    <col min="21" max="21" width="11.375" customWidth="1"/>
    <col min="22" max="22" width="7.625" customWidth="1"/>
    <col min="23" max="23" width="11.375" customWidth="1"/>
    <col min="24" max="24" width="14.875" customWidth="1"/>
    <col min="25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19" t="s">
        <v>52</v>
      </c>
      <c r="J1" s="20" t="s">
        <v>53</v>
      </c>
      <c r="K1" s="20" t="s">
        <v>54</v>
      </c>
      <c r="L1" s="20" t="s">
        <v>55</v>
      </c>
      <c r="M1" s="19"/>
      <c r="N1" s="48" t="s">
        <v>127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6" t="s">
        <v>287</v>
      </c>
      <c r="B2" s="26">
        <v>0.2</v>
      </c>
      <c r="C2" s="23">
        <f>92000*0.2</f>
        <v>18400</v>
      </c>
      <c r="D2" s="24">
        <v>0</v>
      </c>
      <c r="E2" s="24">
        <f t="shared" ref="E2:E21" si="0">D2+C2</f>
        <v>18400</v>
      </c>
      <c r="F2" s="24">
        <f>C2*L26</f>
        <v>1656</v>
      </c>
      <c r="G2" s="24">
        <f>C2*L27</f>
        <v>397.44</v>
      </c>
      <c r="H2" s="24">
        <f>C2*L28</f>
        <v>106.72</v>
      </c>
      <c r="I2" s="24">
        <f t="shared" ref="I2:I17" si="1">C2+F2+G2+H2</f>
        <v>20560.16</v>
      </c>
      <c r="J2" s="24">
        <f>C2*L29</f>
        <v>266.8</v>
      </c>
      <c r="K2" s="24"/>
      <c r="L2" s="24">
        <f>8000*0.2</f>
        <v>1600</v>
      </c>
      <c r="M2" s="24"/>
      <c r="N2" s="24">
        <f>SUM(I2:M2)</f>
        <v>22426.959999999999</v>
      </c>
    </row>
    <row r="3" spans="1:26" ht="14.25" customHeight="1">
      <c r="A3" s="144" t="s">
        <v>128</v>
      </c>
      <c r="B3" s="22">
        <v>1</v>
      </c>
      <c r="C3" s="24">
        <f>42174*1.04</f>
        <v>43860.959999999999</v>
      </c>
      <c r="D3" s="24">
        <v>3600</v>
      </c>
      <c r="E3" s="24">
        <f t="shared" si="0"/>
        <v>47460.959999999999</v>
      </c>
      <c r="F3" s="24">
        <f>C3*L26</f>
        <v>3947.4863999999998</v>
      </c>
      <c r="G3" s="24">
        <f>C3*L27</f>
        <v>947.39673600000003</v>
      </c>
      <c r="H3" s="24">
        <f>C3*L28</f>
        <v>254.39356799999999</v>
      </c>
      <c r="I3" s="24">
        <f t="shared" si="1"/>
        <v>49010.236704000003</v>
      </c>
      <c r="J3" s="24">
        <f>C3*L29</f>
        <v>635.98392000000001</v>
      </c>
      <c r="K3" s="24"/>
      <c r="L3" s="24">
        <f>B3*$L$31</f>
        <v>8000</v>
      </c>
      <c r="M3" s="24"/>
      <c r="N3" s="24">
        <f t="shared" ref="N3:N8" si="2">SUM(I3:M3)</f>
        <v>57646.220624000001</v>
      </c>
    </row>
    <row r="4" spans="1:26" ht="14.25" customHeight="1">
      <c r="A4" s="144" t="s">
        <v>129</v>
      </c>
      <c r="B4" s="22">
        <v>1</v>
      </c>
      <c r="C4" s="24">
        <f>41080*1.04</f>
        <v>42723.200000000004</v>
      </c>
      <c r="D4" s="24">
        <v>0</v>
      </c>
      <c r="E4" s="24">
        <f t="shared" si="0"/>
        <v>42723.200000000004</v>
      </c>
      <c r="F4" s="24">
        <f>C4*L26</f>
        <v>3845.0880000000002</v>
      </c>
      <c r="G4" s="24">
        <f>C4*L27</f>
        <v>922.82112000000018</v>
      </c>
      <c r="H4" s="24">
        <f>C4*L28</f>
        <v>247.79456000000002</v>
      </c>
      <c r="I4" s="24">
        <f t="shared" si="1"/>
        <v>47738.90368000001</v>
      </c>
      <c r="J4" s="24">
        <f>C4*L29</f>
        <v>619.48640000000012</v>
      </c>
      <c r="K4" s="24"/>
      <c r="L4" s="24">
        <f>B4*$L$31</f>
        <v>8000</v>
      </c>
      <c r="M4" s="24"/>
      <c r="N4" s="24">
        <f t="shared" si="2"/>
        <v>56358.390080000012</v>
      </c>
    </row>
    <row r="5" spans="1:26" ht="14.25" customHeight="1">
      <c r="A5" s="144" t="s">
        <v>130</v>
      </c>
      <c r="B5" s="22">
        <v>0.1</v>
      </c>
      <c r="C5" s="24">
        <f>8463*1.04</f>
        <v>8801.52</v>
      </c>
      <c r="D5" s="24"/>
      <c r="E5" s="24">
        <f t="shared" si="0"/>
        <v>8801.52</v>
      </c>
      <c r="F5" s="24">
        <f>C5*L26</f>
        <v>792.13679999999999</v>
      </c>
      <c r="G5" s="24">
        <f>C5*L27</f>
        <v>190.11283200000003</v>
      </c>
      <c r="H5" s="24">
        <f>C5*L28</f>
        <v>51.048816000000002</v>
      </c>
      <c r="I5" s="24">
        <f t="shared" si="1"/>
        <v>9834.8184480000018</v>
      </c>
      <c r="J5" s="24">
        <f>C5*L29</f>
        <v>127.62204000000001</v>
      </c>
      <c r="K5" s="24"/>
      <c r="L5" s="24">
        <v>0</v>
      </c>
      <c r="M5" s="24"/>
      <c r="N5" s="24">
        <f t="shared" si="2"/>
        <v>9962.440488000002</v>
      </c>
    </row>
    <row r="6" spans="1:26" ht="14.25" customHeight="1">
      <c r="A6" s="144" t="s">
        <v>131</v>
      </c>
      <c r="B6" s="22">
        <v>1</v>
      </c>
      <c r="C6" s="24">
        <f>66404*1.04</f>
        <v>69060.160000000003</v>
      </c>
      <c r="D6" s="24">
        <v>0</v>
      </c>
      <c r="E6" s="24">
        <f t="shared" si="0"/>
        <v>69060.160000000003</v>
      </c>
      <c r="F6" s="24">
        <f>C6*L26</f>
        <v>6215.4143999999997</v>
      </c>
      <c r="G6" s="24">
        <f>C6*L27</f>
        <v>1491.6994560000001</v>
      </c>
      <c r="H6" s="24">
        <f>C6*L28</f>
        <v>400.54892799999999</v>
      </c>
      <c r="I6" s="24">
        <f t="shared" si="1"/>
        <v>77167.822784000004</v>
      </c>
      <c r="J6" s="24">
        <f>C6*L29</f>
        <v>1001.3723200000001</v>
      </c>
      <c r="K6" s="24"/>
      <c r="L6" s="24">
        <f>B6*$L$31</f>
        <v>8000</v>
      </c>
      <c r="M6" s="24"/>
      <c r="N6" s="24">
        <f t="shared" si="2"/>
        <v>86169.195103999999</v>
      </c>
    </row>
    <row r="7" spans="1:26" ht="14.25" customHeight="1">
      <c r="A7" s="144" t="s">
        <v>132</v>
      </c>
      <c r="B7" s="22">
        <v>1</v>
      </c>
      <c r="C7" s="24">
        <f>68064*1.04</f>
        <v>70786.559999999998</v>
      </c>
      <c r="D7" s="24"/>
      <c r="E7" s="24">
        <f t="shared" si="0"/>
        <v>70786.559999999998</v>
      </c>
      <c r="F7" s="24">
        <f>C7*L26</f>
        <v>6370.7903999999999</v>
      </c>
      <c r="G7" s="24">
        <f>C7*L27</f>
        <v>1528.9896960000001</v>
      </c>
      <c r="H7" s="24">
        <f>C7*L28</f>
        <v>410.56204799999995</v>
      </c>
      <c r="I7" s="24">
        <f t="shared" si="1"/>
        <v>79096.902144000007</v>
      </c>
      <c r="J7" s="24">
        <f>C7*L29</f>
        <v>1026.4051200000001</v>
      </c>
      <c r="K7" s="24"/>
      <c r="L7" s="24">
        <f>B7*$L$31</f>
        <v>8000</v>
      </c>
      <c r="M7" s="24"/>
      <c r="N7" s="24">
        <f t="shared" si="2"/>
        <v>88123.307264000003</v>
      </c>
    </row>
    <row r="8" spans="1:26" ht="14.25" customHeight="1">
      <c r="A8" s="144" t="s">
        <v>133</v>
      </c>
      <c r="B8" s="22">
        <v>1</v>
      </c>
      <c r="C8" s="24">
        <f>44960*1.04</f>
        <v>46758.400000000001</v>
      </c>
      <c r="D8" s="24"/>
      <c r="E8" s="24">
        <f t="shared" si="0"/>
        <v>46758.400000000001</v>
      </c>
      <c r="F8" s="24">
        <f>C8*L26</f>
        <v>4208.2560000000003</v>
      </c>
      <c r="G8" s="24">
        <f>C8*L27</f>
        <v>1009.9814400000001</v>
      </c>
      <c r="H8" s="24">
        <f>C8*L28</f>
        <v>271.19871999999998</v>
      </c>
      <c r="I8" s="24">
        <f t="shared" si="1"/>
        <v>52247.836160000006</v>
      </c>
      <c r="J8" s="24">
        <f>C8*L29</f>
        <v>677.99680000000001</v>
      </c>
      <c r="K8" s="24"/>
      <c r="L8" s="24">
        <f>B8*$L$31</f>
        <v>8000</v>
      </c>
      <c r="M8" s="24"/>
      <c r="N8" s="24">
        <f t="shared" si="2"/>
        <v>60925.832960000007</v>
      </c>
    </row>
    <row r="9" spans="1:26" ht="14.25" customHeight="1">
      <c r="A9" s="144" t="s">
        <v>289</v>
      </c>
      <c r="B9" s="22">
        <v>1</v>
      </c>
      <c r="C9" s="24">
        <v>40583</v>
      </c>
      <c r="D9" s="24">
        <v>3600</v>
      </c>
      <c r="E9" s="24">
        <f t="shared" si="0"/>
        <v>44183</v>
      </c>
      <c r="F9" s="24">
        <f>C9*L26</f>
        <v>3652.47</v>
      </c>
      <c r="G9" s="24">
        <f>C9*L27</f>
        <v>876.59280000000001</v>
      </c>
      <c r="H9" s="24">
        <f>C9*L28</f>
        <v>235.38139999999999</v>
      </c>
      <c r="I9" s="24">
        <f t="shared" si="1"/>
        <v>45347.444199999998</v>
      </c>
      <c r="J9" s="24">
        <f>C9*L29</f>
        <v>588.45350000000008</v>
      </c>
      <c r="K9" s="24"/>
      <c r="L9" s="24">
        <v>8000</v>
      </c>
      <c r="M9" s="24"/>
      <c r="N9" s="132">
        <f>SUM(I9:M9)</f>
        <v>53935.897700000001</v>
      </c>
    </row>
    <row r="10" spans="1:26" ht="14.25" customHeight="1">
      <c r="A10" s="21" t="s">
        <v>69</v>
      </c>
      <c r="B10" s="22">
        <v>0</v>
      </c>
      <c r="C10" s="24">
        <v>0</v>
      </c>
      <c r="D10" s="24">
        <v>0</v>
      </c>
      <c r="E10" s="24">
        <f t="shared" si="0"/>
        <v>0</v>
      </c>
      <c r="F10" s="24">
        <f>C10*L26</f>
        <v>0</v>
      </c>
      <c r="G10" s="24">
        <f>C10*L27</f>
        <v>0</v>
      </c>
      <c r="H10" s="24">
        <f>C10*L28</f>
        <v>0</v>
      </c>
      <c r="I10" s="24">
        <f t="shared" si="1"/>
        <v>0</v>
      </c>
      <c r="J10" s="24">
        <f>C10*L29</f>
        <v>0</v>
      </c>
      <c r="K10" s="24"/>
      <c r="L10" s="24"/>
      <c r="M10" s="24"/>
    </row>
    <row r="11" spans="1:26" ht="14.25" customHeight="1">
      <c r="A11" s="21" t="s">
        <v>69</v>
      </c>
      <c r="B11" s="22">
        <v>0</v>
      </c>
      <c r="C11" s="24">
        <v>0</v>
      </c>
      <c r="D11" s="24">
        <v>0</v>
      </c>
      <c r="E11" s="24">
        <f t="shared" si="0"/>
        <v>0</v>
      </c>
      <c r="F11" s="24">
        <f>C11*L26</f>
        <v>0</v>
      </c>
      <c r="G11" s="24">
        <f>C11*L27</f>
        <v>0</v>
      </c>
      <c r="H11" s="24">
        <f>C11*L28</f>
        <v>0</v>
      </c>
      <c r="I11" s="24">
        <f t="shared" si="1"/>
        <v>0</v>
      </c>
      <c r="J11" s="24">
        <f>C11*L29</f>
        <v>0</v>
      </c>
      <c r="K11" s="24"/>
      <c r="L11" s="24"/>
      <c r="M11" s="24"/>
      <c r="N11" s="24">
        <f>SUM(N2:N10)</f>
        <v>435548.24421999999</v>
      </c>
    </row>
    <row r="12" spans="1:26" ht="14.25" customHeight="1">
      <c r="A12" s="21" t="s">
        <v>69</v>
      </c>
      <c r="B12" s="22">
        <v>0</v>
      </c>
      <c r="C12" s="24">
        <v>0</v>
      </c>
      <c r="D12" s="24"/>
      <c r="E12" s="24">
        <f t="shared" si="0"/>
        <v>0</v>
      </c>
      <c r="F12" s="24">
        <v>0</v>
      </c>
      <c r="G12" s="24">
        <v>0</v>
      </c>
      <c r="H12" s="24">
        <v>0</v>
      </c>
      <c r="I12" s="24">
        <f t="shared" si="1"/>
        <v>0</v>
      </c>
      <c r="J12" s="24">
        <f>C12*L29</f>
        <v>0</v>
      </c>
      <c r="K12" s="24"/>
      <c r="L12" s="24"/>
      <c r="M12" s="24"/>
    </row>
    <row r="13" spans="1:26" ht="14.25" customHeight="1">
      <c r="A13" s="21" t="s">
        <v>69</v>
      </c>
      <c r="B13" s="22">
        <v>0</v>
      </c>
      <c r="C13" s="24">
        <v>0</v>
      </c>
      <c r="D13" s="24">
        <v>0</v>
      </c>
      <c r="E13" s="24">
        <f t="shared" si="0"/>
        <v>0</v>
      </c>
      <c r="F13" s="24">
        <f>C13*L26</f>
        <v>0</v>
      </c>
      <c r="G13" s="24">
        <f>C13*L27</f>
        <v>0</v>
      </c>
      <c r="H13" s="24">
        <f>C13*L28</f>
        <v>0</v>
      </c>
      <c r="I13" s="24">
        <f t="shared" si="1"/>
        <v>0</v>
      </c>
      <c r="J13" s="24">
        <f>C13*L29</f>
        <v>0</v>
      </c>
      <c r="K13" s="24"/>
      <c r="L13" s="24"/>
      <c r="M13" s="24"/>
    </row>
    <row r="14" spans="1:26" ht="14.25" customHeight="1">
      <c r="A14" s="21" t="s">
        <v>69</v>
      </c>
      <c r="B14" s="22">
        <v>0</v>
      </c>
      <c r="C14" s="24">
        <v>0</v>
      </c>
      <c r="D14" s="24">
        <v>0</v>
      </c>
      <c r="E14" s="24">
        <f t="shared" si="0"/>
        <v>0</v>
      </c>
      <c r="F14" s="24">
        <f>C14*L26</f>
        <v>0</v>
      </c>
      <c r="G14" s="24">
        <f>C14*L27</f>
        <v>0</v>
      </c>
      <c r="H14" s="24">
        <f>C14*L28</f>
        <v>0</v>
      </c>
      <c r="I14" s="24">
        <f t="shared" si="1"/>
        <v>0</v>
      </c>
      <c r="J14" s="24">
        <f>C14*L29</f>
        <v>0</v>
      </c>
      <c r="K14" s="24"/>
      <c r="L14" s="24"/>
      <c r="M14" s="24"/>
    </row>
    <row r="15" spans="1:26" ht="14.25" customHeight="1">
      <c r="A15" s="21" t="s">
        <v>69</v>
      </c>
      <c r="B15" s="22">
        <v>0</v>
      </c>
      <c r="C15" s="24">
        <v>0</v>
      </c>
      <c r="D15" s="24">
        <v>0</v>
      </c>
      <c r="E15" s="24">
        <f t="shared" si="0"/>
        <v>0</v>
      </c>
      <c r="F15" s="24">
        <f>C15*L26</f>
        <v>0</v>
      </c>
      <c r="G15" s="24">
        <f>C15*L27</f>
        <v>0</v>
      </c>
      <c r="H15" s="24">
        <f>C15*L28</f>
        <v>0</v>
      </c>
      <c r="I15" s="24">
        <f t="shared" si="1"/>
        <v>0</v>
      </c>
      <c r="J15" s="24">
        <f>C15*L29</f>
        <v>0</v>
      </c>
      <c r="K15" s="24"/>
      <c r="L15" s="24"/>
      <c r="M15" s="24"/>
    </row>
    <row r="16" spans="1:26" ht="14.25" customHeight="1">
      <c r="A16" s="21" t="s">
        <v>69</v>
      </c>
      <c r="B16" s="22">
        <v>0</v>
      </c>
      <c r="C16" s="24">
        <v>0</v>
      </c>
      <c r="D16" s="24">
        <v>0</v>
      </c>
      <c r="E16" s="24">
        <f t="shared" si="0"/>
        <v>0</v>
      </c>
      <c r="F16" s="24">
        <f>C16*L26</f>
        <v>0</v>
      </c>
      <c r="G16" s="24">
        <f>C16*L27</f>
        <v>0</v>
      </c>
      <c r="H16" s="24">
        <f>C16*L28</f>
        <v>0</v>
      </c>
      <c r="I16" s="24">
        <f t="shared" si="1"/>
        <v>0</v>
      </c>
      <c r="J16" s="24">
        <f>C16*L29</f>
        <v>0</v>
      </c>
      <c r="K16" s="24"/>
      <c r="L16" s="24"/>
      <c r="M16" s="24"/>
    </row>
    <row r="17" spans="1:13" ht="14.25" customHeight="1">
      <c r="A17" s="21" t="s">
        <v>69</v>
      </c>
      <c r="B17" s="22">
        <v>0</v>
      </c>
      <c r="C17" s="24">
        <v>0</v>
      </c>
      <c r="D17" s="30"/>
      <c r="E17" s="24">
        <f t="shared" si="0"/>
        <v>0</v>
      </c>
      <c r="F17" s="30">
        <f>C17*L26</f>
        <v>0</v>
      </c>
      <c r="G17" s="30">
        <f>C17*L27</f>
        <v>0</v>
      </c>
      <c r="H17" s="30">
        <f>C17*L28</f>
        <v>0</v>
      </c>
      <c r="I17" s="30">
        <f t="shared" si="1"/>
        <v>0</v>
      </c>
      <c r="J17" s="30">
        <f>C17*L29</f>
        <v>0</v>
      </c>
      <c r="K17" s="30"/>
      <c r="L17" s="30"/>
      <c r="M17" s="24"/>
    </row>
    <row r="18" spans="1:13" ht="14.25" customHeight="1">
      <c r="A18" s="32" t="s">
        <v>100</v>
      </c>
      <c r="B18" s="22">
        <f>SUM(B2:B17)</f>
        <v>6.3000000000000007</v>
      </c>
      <c r="C18" s="31">
        <f>SUM(C2:C17)</f>
        <v>340973.80000000005</v>
      </c>
      <c r="D18" s="31">
        <f>SUM(D2:D17)</f>
        <v>7200</v>
      </c>
      <c r="E18" s="31">
        <f t="shared" si="0"/>
        <v>348173.80000000005</v>
      </c>
      <c r="F18" s="31">
        <f>SUM(F2:F17)</f>
        <v>30687.642</v>
      </c>
      <c r="G18" s="31">
        <f>SUM(G2:G17)</f>
        <v>7365.0340800000022</v>
      </c>
      <c r="H18" s="31">
        <f>SUM(H2:H17)</f>
        <v>1977.6480399999998</v>
      </c>
      <c r="I18" s="31">
        <f>SUM(I2:I17)</f>
        <v>381004.12412000005</v>
      </c>
      <c r="J18" s="31">
        <f>SUM(J2:J17)</f>
        <v>4944.1201000000001</v>
      </c>
      <c r="K18" s="24"/>
      <c r="L18" s="31">
        <f>(B18-1)*L31</f>
        <v>42400.000000000007</v>
      </c>
      <c r="M18" s="24"/>
    </row>
    <row r="19" spans="1:13" ht="14.25" customHeight="1">
      <c r="A19" s="21" t="s">
        <v>134</v>
      </c>
      <c r="B19" s="22"/>
      <c r="C19" s="24"/>
      <c r="D19" s="24"/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</row>
    <row r="20" spans="1:13" ht="14.25" customHeight="1">
      <c r="A20" s="21" t="s">
        <v>135</v>
      </c>
      <c r="B20" s="22">
        <v>0</v>
      </c>
      <c r="C20" s="24">
        <v>0</v>
      </c>
      <c r="D20" s="24"/>
      <c r="E20" s="24">
        <f t="shared" si="0"/>
        <v>0</v>
      </c>
      <c r="F20" s="24"/>
      <c r="G20" s="24"/>
      <c r="H20" s="24"/>
      <c r="I20" s="24"/>
      <c r="J20" s="24">
        <v>0</v>
      </c>
      <c r="K20" s="24">
        <v>0</v>
      </c>
      <c r="L20" s="24"/>
      <c r="M20" s="24"/>
    </row>
    <row r="21" spans="1:13" ht="14.25" customHeight="1">
      <c r="A21" s="21" t="s">
        <v>69</v>
      </c>
      <c r="B21" s="28">
        <v>0</v>
      </c>
      <c r="C21" s="30">
        <v>0</v>
      </c>
      <c r="D21" s="30"/>
      <c r="E21" s="30">
        <f t="shared" si="0"/>
        <v>0</v>
      </c>
      <c r="F21" s="30"/>
      <c r="G21" s="30"/>
      <c r="H21" s="30"/>
      <c r="I21" s="30"/>
      <c r="J21" s="30">
        <v>0</v>
      </c>
      <c r="K21" s="30">
        <v>0</v>
      </c>
      <c r="L21" s="24"/>
      <c r="M21" s="24"/>
    </row>
    <row r="22" spans="1:13" ht="14.25" customHeight="1">
      <c r="A22" s="32" t="s">
        <v>136</v>
      </c>
      <c r="B22" s="22">
        <f t="shared" ref="B22:K22" si="3">SUM(B20:B21)</f>
        <v>0</v>
      </c>
      <c r="C22" s="24">
        <f t="shared" si="3"/>
        <v>0</v>
      </c>
      <c r="D22" s="24">
        <f t="shared" si="3"/>
        <v>0</v>
      </c>
      <c r="E22" s="24">
        <f t="shared" si="3"/>
        <v>0</v>
      </c>
      <c r="F22" s="24">
        <f t="shared" si="3"/>
        <v>0</v>
      </c>
      <c r="G22" s="24">
        <f t="shared" si="3"/>
        <v>0</v>
      </c>
      <c r="H22" s="24">
        <f t="shared" si="3"/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/>
      <c r="M22" s="24"/>
    </row>
    <row r="23" spans="1:13" ht="14.25" customHeight="1">
      <c r="B23" s="22" t="s">
        <v>69</v>
      </c>
      <c r="C23" s="31" t="s">
        <v>69</v>
      </c>
      <c r="D23" s="31" t="s">
        <v>137</v>
      </c>
      <c r="E23" s="31" t="s">
        <v>69</v>
      </c>
      <c r="F23" s="31" t="s">
        <v>69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24"/>
    </row>
    <row r="24" spans="1:13" ht="14.25" customHeight="1">
      <c r="C24" s="24"/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13" ht="14.25" customHeight="1">
      <c r="A25" s="21" t="s">
        <v>138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13" ht="14.25" customHeight="1">
      <c r="A26" s="21" t="s">
        <v>72</v>
      </c>
      <c r="B26" s="21" t="s">
        <v>69</v>
      </c>
      <c r="C26" s="34">
        <f>(B18*10000)*0.014</f>
        <v>882.00000000000011</v>
      </c>
      <c r="D26" s="33"/>
      <c r="E26" s="33" t="s">
        <v>73</v>
      </c>
      <c r="F26" s="24">
        <v>100</v>
      </c>
      <c r="G26" s="35">
        <f>E18</f>
        <v>348173.80000000005</v>
      </c>
      <c r="J26" s="33"/>
      <c r="K26" s="33" t="s">
        <v>74</v>
      </c>
      <c r="L26" s="21">
        <v>0.09</v>
      </c>
    </row>
    <row r="27" spans="1:13" ht="14.25" customHeight="1">
      <c r="A27" s="21" t="s">
        <v>75</v>
      </c>
      <c r="C27" s="34">
        <f>C18*0.0065</f>
        <v>2216.3297000000002</v>
      </c>
      <c r="E27" s="21" t="s">
        <v>76</v>
      </c>
      <c r="F27" s="21">
        <v>200</v>
      </c>
      <c r="G27" s="35">
        <f>F18+G18+H18+J18+L18</f>
        <v>87374.444220000005</v>
      </c>
      <c r="K27" s="21" t="s">
        <v>77</v>
      </c>
      <c r="L27" s="21">
        <v>2.1600000000000001E-2</v>
      </c>
    </row>
    <row r="28" spans="1:13" ht="14.25" customHeight="1">
      <c r="A28" s="21" t="s">
        <v>78</v>
      </c>
      <c r="C28" s="34">
        <v>15000</v>
      </c>
      <c r="E28" s="21" t="s">
        <v>79</v>
      </c>
      <c r="F28" s="21">
        <v>300</v>
      </c>
      <c r="G28" s="35">
        <f>C30</f>
        <v>27098.329700000002</v>
      </c>
      <c r="K28" s="21" t="s">
        <v>80</v>
      </c>
      <c r="L28" s="21">
        <v>5.7999999999999996E-3</v>
      </c>
    </row>
    <row r="29" spans="1:13" ht="14.25" customHeight="1">
      <c r="A29" s="21" t="s">
        <v>134</v>
      </c>
      <c r="C29" s="45">
        <f>C22+9000</f>
        <v>9000</v>
      </c>
      <c r="E29" s="21" t="s">
        <v>82</v>
      </c>
      <c r="F29" s="21">
        <v>400</v>
      </c>
      <c r="G29" s="35">
        <f>C31</f>
        <v>2000</v>
      </c>
      <c r="K29" s="21" t="s">
        <v>83</v>
      </c>
      <c r="L29" s="21">
        <v>1.4500000000000001E-2</v>
      </c>
    </row>
    <row r="30" spans="1:13" ht="14.25" customHeight="1">
      <c r="A30" s="32" t="s">
        <v>84</v>
      </c>
      <c r="C30" s="35">
        <f>SUM(C26:C29)</f>
        <v>27098.329700000002</v>
      </c>
      <c r="E30" s="38" t="s">
        <v>85</v>
      </c>
      <c r="F30" s="38">
        <v>500</v>
      </c>
      <c r="G30" s="39">
        <v>2400</v>
      </c>
      <c r="K30" s="21" t="s">
        <v>86</v>
      </c>
      <c r="L30" s="21">
        <v>6.2E-2</v>
      </c>
    </row>
    <row r="31" spans="1:13" ht="14.25" customHeight="1">
      <c r="A31" s="32" t="s">
        <v>139</v>
      </c>
      <c r="C31" s="35">
        <v>2000</v>
      </c>
      <c r="K31" s="21" t="s">
        <v>88</v>
      </c>
      <c r="L31" s="47">
        <f>SSW!L31</f>
        <v>8000</v>
      </c>
    </row>
    <row r="32" spans="1:13" ht="14.25" customHeight="1">
      <c r="A32" s="32" t="s">
        <v>140</v>
      </c>
      <c r="C32" s="35">
        <v>1200</v>
      </c>
      <c r="E32" s="32" t="s">
        <v>90</v>
      </c>
      <c r="F32" s="32"/>
      <c r="G32" s="40">
        <f>SUM(G26:G31)</f>
        <v>467046.57392000005</v>
      </c>
      <c r="K32" s="21" t="s">
        <v>91</v>
      </c>
      <c r="L32" s="21">
        <v>6.4999999999999997E-3</v>
      </c>
    </row>
    <row r="33" spans="11:25" ht="14.25" customHeight="1">
      <c r="K33" s="21" t="s">
        <v>92</v>
      </c>
      <c r="L33" s="21">
        <v>1.4E-2</v>
      </c>
    </row>
    <row r="34" spans="11:25" ht="14.25" customHeight="1">
      <c r="M34" s="2"/>
      <c r="N34" s="2"/>
      <c r="O34" s="2"/>
      <c r="P34" s="2"/>
      <c r="Q34" s="49"/>
      <c r="R34" s="50" t="s">
        <v>141</v>
      </c>
      <c r="S34" s="2"/>
      <c r="T34" s="2"/>
      <c r="U34" s="2"/>
      <c r="V34" s="49"/>
      <c r="W34" s="49"/>
      <c r="X34" s="2"/>
    </row>
    <row r="35" spans="11:25" ht="14.25" customHeight="1">
      <c r="M35" s="2"/>
      <c r="N35" s="2"/>
      <c r="O35" s="2"/>
      <c r="P35" s="51"/>
      <c r="Q35" s="52"/>
      <c r="R35" s="53" t="s">
        <v>142</v>
      </c>
      <c r="S35" s="54"/>
      <c r="T35" s="52"/>
      <c r="U35" s="52"/>
      <c r="V35" s="49"/>
      <c r="W35" s="49"/>
      <c r="X35" s="2"/>
    </row>
    <row r="36" spans="11:25" ht="14.25" customHeight="1">
      <c r="M36" s="2"/>
      <c r="N36" s="161" t="s">
        <v>0</v>
      </c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11:25" ht="14.25" customHeight="1">
      <c r="M37" s="2"/>
      <c r="N37" s="162" t="s">
        <v>143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</row>
    <row r="38" spans="11:25" ht="14.25" customHeight="1">
      <c r="M38" s="2"/>
      <c r="N38" s="163" t="s">
        <v>144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</row>
    <row r="39" spans="11:25" ht="14.25" customHeight="1">
      <c r="M39" s="2"/>
      <c r="N39" s="2" t="s">
        <v>145</v>
      </c>
      <c r="O39" s="2"/>
      <c r="P39" s="49"/>
      <c r="Q39" s="49"/>
      <c r="R39" s="2"/>
      <c r="S39" s="2"/>
      <c r="T39" s="2"/>
      <c r="U39" s="2"/>
      <c r="V39" s="49"/>
      <c r="W39" s="49"/>
      <c r="X39" s="2"/>
    </row>
    <row r="40" spans="11:25" ht="14.25" customHeight="1">
      <c r="N40" s="57" t="s">
        <v>146</v>
      </c>
      <c r="O40" s="57"/>
      <c r="P40" s="58">
        <f>N11</f>
        <v>435548.24421999999</v>
      </c>
      <c r="Q40" s="59"/>
      <c r="R40" s="59"/>
      <c r="S40" s="57">
        <f>3.8*9000</f>
        <v>34200</v>
      </c>
      <c r="T40" s="59"/>
      <c r="U40" s="60"/>
      <c r="V40" s="57"/>
      <c r="W40" s="59" t="s">
        <v>147</v>
      </c>
      <c r="X40" s="59">
        <f>(N11/O58)</f>
        <v>71401.351511475397</v>
      </c>
    </row>
    <row r="41" spans="11:25" ht="14.25" customHeight="1">
      <c r="M41" s="57"/>
      <c r="N41" s="57"/>
      <c r="O41" s="57"/>
      <c r="P41" s="59"/>
      <c r="Q41" s="59"/>
      <c r="R41" s="57"/>
      <c r="S41" s="57"/>
      <c r="T41" s="57"/>
      <c r="U41" s="57"/>
      <c r="V41" s="59"/>
      <c r="W41" s="59"/>
      <c r="X41" s="57"/>
    </row>
    <row r="42" spans="11:25" ht="14.25" customHeight="1">
      <c r="M42" s="57"/>
      <c r="N42" s="57"/>
      <c r="O42" s="57"/>
      <c r="P42" s="59"/>
      <c r="Q42" s="59"/>
      <c r="R42" s="57"/>
      <c r="S42" s="57"/>
      <c r="T42" s="57"/>
      <c r="U42" s="57"/>
      <c r="V42" s="59"/>
      <c r="W42" s="59"/>
      <c r="X42" s="57"/>
    </row>
    <row r="43" spans="11:25" ht="14.25" customHeight="1"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1:25" ht="14.25" customHeight="1">
      <c r="M44" s="52"/>
      <c r="N44" s="57"/>
      <c r="O44" s="57"/>
      <c r="P44" s="57"/>
      <c r="Q44" s="57"/>
      <c r="R44" s="61" t="s">
        <v>148</v>
      </c>
      <c r="S44" s="57"/>
      <c r="T44" s="60"/>
      <c r="U44" s="50" t="s">
        <v>149</v>
      </c>
      <c r="V44" s="57"/>
      <c r="W44" s="57"/>
      <c r="X44" s="56" t="s">
        <v>150</v>
      </c>
    </row>
    <row r="45" spans="11:25" ht="14.25" customHeight="1">
      <c r="M45" s="62"/>
      <c r="N45" s="50"/>
      <c r="O45" s="50" t="s">
        <v>151</v>
      </c>
      <c r="P45" s="56" t="s">
        <v>152</v>
      </c>
      <c r="Q45" s="56"/>
      <c r="R45" s="61" t="s">
        <v>153</v>
      </c>
      <c r="S45" s="57"/>
      <c r="T45" s="60"/>
      <c r="U45" s="50" t="s">
        <v>154</v>
      </c>
      <c r="V45" s="56"/>
      <c r="W45" s="50"/>
      <c r="X45" s="50" t="s">
        <v>155</v>
      </c>
    </row>
    <row r="46" spans="11:25" ht="14.25" customHeight="1">
      <c r="M46" s="53"/>
      <c r="N46" s="50"/>
      <c r="O46" s="50" t="s">
        <v>45</v>
      </c>
      <c r="P46" s="56" t="s">
        <v>156</v>
      </c>
      <c r="Q46" s="56"/>
      <c r="R46" s="61" t="s">
        <v>157</v>
      </c>
      <c r="S46" s="57"/>
      <c r="T46" s="60"/>
      <c r="U46" s="50" t="s">
        <v>158</v>
      </c>
      <c r="V46" s="50"/>
      <c r="W46" s="50"/>
      <c r="X46" s="50" t="s">
        <v>158</v>
      </c>
    </row>
    <row r="47" spans="11:25" ht="14.25" customHeight="1">
      <c r="N47" s="63" t="s">
        <v>159</v>
      </c>
      <c r="O47" s="64">
        <v>1.4</v>
      </c>
      <c r="P47" s="65">
        <f t="shared" ref="P47:P57" si="4">$X$40*O47</f>
        <v>99961.892116065545</v>
      </c>
      <c r="Q47" s="66"/>
      <c r="R47" s="65">
        <f t="shared" ref="R47:R57" si="5">($R$58/$O$58)*O47</f>
        <v>7849.1803278688512</v>
      </c>
      <c r="S47" s="67"/>
      <c r="T47" s="68"/>
      <c r="U47" s="65">
        <f t="shared" ref="U47:U57" si="6">P47-R47</f>
        <v>92112.711788196699</v>
      </c>
      <c r="V47" s="67"/>
      <c r="W47" s="67"/>
      <c r="X47" s="69">
        <f t="shared" ref="X47:X57" si="7">U47/2</f>
        <v>46056.355894098349</v>
      </c>
    </row>
    <row r="48" spans="11:25" ht="14.25" customHeight="1">
      <c r="N48" s="70" t="s">
        <v>160</v>
      </c>
      <c r="O48" s="71">
        <v>0.4</v>
      </c>
      <c r="P48" s="65">
        <f t="shared" si="4"/>
        <v>28560.540604590162</v>
      </c>
      <c r="Q48" s="72"/>
      <c r="R48" s="65">
        <f t="shared" si="5"/>
        <v>2242.622950819672</v>
      </c>
      <c r="S48" s="73"/>
      <c r="T48" s="74"/>
      <c r="U48" s="65">
        <f t="shared" si="6"/>
        <v>26317.917653770492</v>
      </c>
      <c r="V48" s="73"/>
      <c r="W48" s="73"/>
      <c r="X48" s="69">
        <f t="shared" si="7"/>
        <v>13158.958826885246</v>
      </c>
    </row>
    <row r="49" spans="13:25" ht="14.25" customHeight="1">
      <c r="N49" s="75" t="s">
        <v>161</v>
      </c>
      <c r="O49" s="71">
        <v>0.2</v>
      </c>
      <c r="P49" s="65">
        <f t="shared" si="4"/>
        <v>14280.270302295081</v>
      </c>
      <c r="Q49" s="72"/>
      <c r="R49" s="65">
        <f t="shared" si="5"/>
        <v>1121.311475409836</v>
      </c>
      <c r="S49" s="73"/>
      <c r="T49" s="74"/>
      <c r="U49" s="65">
        <f t="shared" si="6"/>
        <v>13158.958826885246</v>
      </c>
      <c r="V49" s="73"/>
      <c r="W49" s="73"/>
      <c r="X49" s="69">
        <f t="shared" si="7"/>
        <v>6579.4794134426229</v>
      </c>
    </row>
    <row r="50" spans="13:25" ht="14.25" customHeight="1">
      <c r="N50" s="75" t="s">
        <v>162</v>
      </c>
      <c r="O50" s="71">
        <v>1</v>
      </c>
      <c r="P50" s="65">
        <f t="shared" si="4"/>
        <v>71401.351511475397</v>
      </c>
      <c r="Q50" s="72"/>
      <c r="R50" s="65">
        <f t="shared" si="5"/>
        <v>5606.5573770491801</v>
      </c>
      <c r="S50" s="73"/>
      <c r="T50" s="74"/>
      <c r="U50" s="65">
        <f t="shared" si="6"/>
        <v>65794.794134426222</v>
      </c>
      <c r="V50" s="73"/>
      <c r="W50" s="73"/>
      <c r="X50" s="69">
        <f t="shared" si="7"/>
        <v>32897.397067213111</v>
      </c>
    </row>
    <row r="51" spans="13:25" ht="14.25" customHeight="1">
      <c r="N51" s="70" t="s">
        <v>163</v>
      </c>
      <c r="O51" s="71">
        <v>0.2</v>
      </c>
      <c r="P51" s="65">
        <f t="shared" si="4"/>
        <v>14280.270302295081</v>
      </c>
      <c r="Q51" s="72"/>
      <c r="R51" s="65">
        <f t="shared" si="5"/>
        <v>1121.311475409836</v>
      </c>
      <c r="S51" s="73"/>
      <c r="T51" s="74"/>
      <c r="U51" s="65">
        <f t="shared" si="6"/>
        <v>13158.958826885246</v>
      </c>
      <c r="V51" s="73"/>
      <c r="W51" s="73"/>
      <c r="X51" s="69">
        <f t="shared" si="7"/>
        <v>6579.4794134426229</v>
      </c>
    </row>
    <row r="52" spans="13:25" ht="14.25" customHeight="1">
      <c r="N52" s="70" t="s">
        <v>164</v>
      </c>
      <c r="O52" s="71">
        <v>0.4</v>
      </c>
      <c r="P52" s="65">
        <f t="shared" si="4"/>
        <v>28560.540604590162</v>
      </c>
      <c r="Q52" s="72"/>
      <c r="R52" s="65">
        <f t="shared" si="5"/>
        <v>2242.622950819672</v>
      </c>
      <c r="S52" s="73"/>
      <c r="T52" s="74"/>
      <c r="U52" s="65">
        <f t="shared" si="6"/>
        <v>26317.917653770492</v>
      </c>
      <c r="V52" s="73"/>
      <c r="W52" s="73"/>
      <c r="X52" s="69">
        <f t="shared" si="7"/>
        <v>13158.958826885246</v>
      </c>
    </row>
    <row r="53" spans="13:25" ht="14.25" customHeight="1">
      <c r="N53" s="70" t="s">
        <v>165</v>
      </c>
      <c r="O53" s="71">
        <v>0.7</v>
      </c>
      <c r="P53" s="65">
        <f t="shared" si="4"/>
        <v>49980.946058032772</v>
      </c>
      <c r="Q53" s="72"/>
      <c r="R53" s="65">
        <f t="shared" si="5"/>
        <v>3924.5901639344256</v>
      </c>
      <c r="S53" s="73"/>
      <c r="T53" s="74"/>
      <c r="U53" s="65">
        <f t="shared" si="6"/>
        <v>46056.355894098349</v>
      </c>
      <c r="V53" s="73"/>
      <c r="W53" s="73"/>
      <c r="X53" s="69">
        <f t="shared" si="7"/>
        <v>23028.177947049175</v>
      </c>
    </row>
    <row r="54" spans="13:25" ht="14.25" customHeight="1">
      <c r="N54" s="70" t="s">
        <v>166</v>
      </c>
      <c r="O54" s="71">
        <v>1</v>
      </c>
      <c r="P54" s="65">
        <f t="shared" si="4"/>
        <v>71401.351511475397</v>
      </c>
      <c r="Q54" s="72"/>
      <c r="R54" s="65">
        <f t="shared" si="5"/>
        <v>5606.5573770491801</v>
      </c>
      <c r="S54" s="73"/>
      <c r="T54" s="74"/>
      <c r="U54" s="65">
        <f t="shared" si="6"/>
        <v>65794.794134426222</v>
      </c>
      <c r="V54" s="73"/>
      <c r="W54" s="73"/>
      <c r="X54" s="69">
        <f t="shared" si="7"/>
        <v>32897.397067213111</v>
      </c>
    </row>
    <row r="55" spans="13:25" ht="14.25" customHeight="1">
      <c r="N55" s="61" t="s">
        <v>167</v>
      </c>
      <c r="O55" s="76">
        <v>0.4</v>
      </c>
      <c r="P55" s="65">
        <f t="shared" si="4"/>
        <v>28560.540604590162</v>
      </c>
      <c r="Q55" s="77"/>
      <c r="R55" s="65">
        <f t="shared" si="5"/>
        <v>2242.622950819672</v>
      </c>
      <c r="S55" s="57"/>
      <c r="T55" s="57"/>
      <c r="U55" s="65">
        <f t="shared" si="6"/>
        <v>26317.917653770492</v>
      </c>
      <c r="V55" s="57"/>
      <c r="W55" s="57"/>
      <c r="X55" s="69">
        <f t="shared" si="7"/>
        <v>13158.958826885246</v>
      </c>
    </row>
    <row r="56" spans="13:25" ht="14.25" customHeight="1">
      <c r="N56" s="61" t="s">
        <v>254</v>
      </c>
      <c r="O56" s="76">
        <v>0.2</v>
      </c>
      <c r="P56" s="65">
        <f t="shared" si="4"/>
        <v>14280.270302295081</v>
      </c>
      <c r="Q56" s="77"/>
      <c r="R56" s="65">
        <f t="shared" si="5"/>
        <v>1121.311475409836</v>
      </c>
      <c r="S56" s="57"/>
      <c r="T56" s="57"/>
      <c r="U56" s="65">
        <f t="shared" si="6"/>
        <v>13158.958826885246</v>
      </c>
      <c r="V56" s="57"/>
      <c r="W56" s="57"/>
      <c r="X56" s="69">
        <f t="shared" si="7"/>
        <v>6579.4794134426229</v>
      </c>
    </row>
    <row r="57" spans="13:25" ht="14.25" customHeight="1">
      <c r="N57" s="61" t="s">
        <v>290</v>
      </c>
      <c r="O57" s="79">
        <v>0.2</v>
      </c>
      <c r="P57" s="65">
        <f t="shared" si="4"/>
        <v>14280.270302295081</v>
      </c>
      <c r="Q57" s="80"/>
      <c r="R57" s="65">
        <f t="shared" si="5"/>
        <v>1121.311475409836</v>
      </c>
      <c r="S57" s="57"/>
      <c r="T57" s="57"/>
      <c r="U57" s="65">
        <f t="shared" si="6"/>
        <v>13158.958826885246</v>
      </c>
      <c r="V57" s="57"/>
      <c r="W57" s="57"/>
      <c r="X57" s="69">
        <f t="shared" si="7"/>
        <v>6579.4794134426229</v>
      </c>
    </row>
    <row r="58" spans="13:25" ht="14.25" customHeight="1">
      <c r="N58" s="59" t="s">
        <v>136</v>
      </c>
      <c r="O58" s="76">
        <f>SUM(O47:O57)</f>
        <v>6.1000000000000005</v>
      </c>
      <c r="P58" s="78">
        <f>SUM(P47:P57)</f>
        <v>435548.24421999994</v>
      </c>
      <c r="Q58" s="77"/>
      <c r="R58" s="78">
        <v>34200</v>
      </c>
      <c r="S58" s="57"/>
      <c r="T58" s="57"/>
      <c r="U58" s="78">
        <f>SUM(U47:U57)</f>
        <v>401348.24421999999</v>
      </c>
      <c r="V58" s="57"/>
      <c r="W58" s="57"/>
      <c r="X58" s="81">
        <f>SUM(X47:X57)</f>
        <v>200674.12211</v>
      </c>
    </row>
    <row r="59" spans="13:25" ht="14.25" customHeight="1">
      <c r="M59" s="62"/>
      <c r="N59" s="82"/>
      <c r="O59" s="83"/>
      <c r="P59" s="84"/>
      <c r="Q59" s="84"/>
      <c r="R59" s="84"/>
      <c r="S59" s="52"/>
      <c r="T59" s="52"/>
      <c r="U59" s="82"/>
      <c r="V59" s="51"/>
      <c r="W59" s="51"/>
      <c r="X59" s="51"/>
    </row>
    <row r="60" spans="13:25" ht="14.25" customHeight="1">
      <c r="M60" s="85"/>
      <c r="N60" s="86"/>
      <c r="O60" s="3"/>
      <c r="P60" s="87"/>
      <c r="Q60" s="87"/>
      <c r="R60" s="88"/>
      <c r="S60" s="3"/>
      <c r="T60" s="89"/>
      <c r="U60" s="90"/>
      <c r="V60" s="90"/>
      <c r="W60" s="90"/>
      <c r="X60" s="90"/>
      <c r="Y60" s="91"/>
    </row>
    <row r="61" spans="13:25" ht="14.25" customHeight="1">
      <c r="M61" s="2"/>
      <c r="N61" s="92" t="s">
        <v>168</v>
      </c>
      <c r="O61" s="2"/>
      <c r="P61" s="2"/>
      <c r="Q61" s="2"/>
      <c r="R61" s="2"/>
      <c r="S61" s="2"/>
      <c r="T61" s="2"/>
      <c r="U61" s="49"/>
      <c r="V61" s="49"/>
      <c r="W61" s="49"/>
      <c r="X61" s="49"/>
    </row>
    <row r="62" spans="13:25" ht="14.25" customHeight="1">
      <c r="M62" s="85"/>
      <c r="N62" s="92"/>
      <c r="O62" s="2"/>
      <c r="P62" s="2"/>
      <c r="Q62" s="2"/>
      <c r="R62" s="2"/>
      <c r="S62" s="2"/>
      <c r="T62" s="2"/>
      <c r="U62" s="49"/>
      <c r="V62" s="49"/>
      <c r="W62" s="49"/>
      <c r="X62" s="49"/>
    </row>
    <row r="63" spans="13:25" ht="14.25" customHeight="1">
      <c r="M63" s="57"/>
      <c r="N63" s="92"/>
      <c r="O63" s="2"/>
      <c r="P63" s="2"/>
      <c r="Q63" s="2"/>
      <c r="R63" s="2"/>
      <c r="S63" s="2"/>
      <c r="T63" s="2"/>
      <c r="U63" s="49"/>
      <c r="V63" s="49"/>
      <c r="W63" s="49"/>
      <c r="X63" s="49"/>
    </row>
    <row r="64" spans="13:2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N36:Y36"/>
    <mergeCell ref="N37:Y37"/>
    <mergeCell ref="N38:Y38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00"/>
  <sheetViews>
    <sheetView workbookViewId="0">
      <selection activeCell="C6" sqref="C6"/>
    </sheetView>
  </sheetViews>
  <sheetFormatPr defaultColWidth="12.625" defaultRowHeight="15" customHeight="1"/>
  <cols>
    <col min="1" max="1" width="16.625" customWidth="1"/>
    <col min="2" max="2" width="7.625" customWidth="1"/>
    <col min="3" max="3" width="15.875" customWidth="1"/>
    <col min="4" max="26" width="7.625" customWidth="1"/>
  </cols>
  <sheetData>
    <row r="1" spans="1:3" ht="14.25" customHeight="1">
      <c r="A1" s="21" t="s">
        <v>169</v>
      </c>
    </row>
    <row r="2" spans="1:3" ht="14.25" customHeight="1"/>
    <row r="3" spans="1:3" ht="14.25" customHeight="1">
      <c r="A3" s="21" t="s">
        <v>170</v>
      </c>
    </row>
    <row r="4" spans="1:3" ht="14.25" customHeight="1"/>
    <row r="5" spans="1:3" ht="14.25" customHeight="1">
      <c r="A5" s="21" t="s">
        <v>171</v>
      </c>
      <c r="C5" s="34">
        <v>20000</v>
      </c>
    </row>
    <row r="6" spans="1:3" ht="14.25" customHeight="1">
      <c r="A6" s="21" t="s">
        <v>172</v>
      </c>
      <c r="C6" s="45">
        <v>33500</v>
      </c>
    </row>
    <row r="7" spans="1:3" ht="14.25" customHeight="1">
      <c r="C7" s="34"/>
    </row>
    <row r="8" spans="1:3" ht="14.25" customHeight="1">
      <c r="A8" s="21" t="s">
        <v>173</v>
      </c>
      <c r="C8" s="35">
        <f>SUM(C5:C7)</f>
        <v>53500</v>
      </c>
    </row>
    <row r="9" spans="1:3" ht="14.25" customHeight="1">
      <c r="C9" s="34"/>
    </row>
    <row r="10" spans="1:3" ht="14.25" customHeight="1">
      <c r="C10" s="34"/>
    </row>
    <row r="11" spans="1:3" ht="14.25" customHeight="1">
      <c r="C11" s="34"/>
    </row>
    <row r="12" spans="1:3" ht="14.25" customHeight="1">
      <c r="C12" s="34"/>
    </row>
    <row r="13" spans="1:3" ht="14.25" customHeight="1">
      <c r="A13" s="21" t="s">
        <v>174</v>
      </c>
      <c r="C13" s="34"/>
    </row>
    <row r="14" spans="1:3" ht="14.25" customHeight="1">
      <c r="C14" s="34"/>
    </row>
    <row r="15" spans="1:3" ht="14.25" customHeight="1">
      <c r="A15" s="21" t="s">
        <v>175</v>
      </c>
      <c r="C15" s="34">
        <v>10516</v>
      </c>
    </row>
    <row r="16" spans="1:3" ht="14.25" customHeight="1">
      <c r="A16" s="21" t="s">
        <v>176</v>
      </c>
      <c r="C16" s="45">
        <v>4222</v>
      </c>
    </row>
    <row r="17" spans="1:3" ht="14.25" customHeight="1">
      <c r="C17" s="34"/>
    </row>
    <row r="18" spans="1:3" ht="14.25" customHeight="1">
      <c r="A18" s="21" t="s">
        <v>177</v>
      </c>
      <c r="C18" s="35">
        <f>SUM(C15:C17)</f>
        <v>14738</v>
      </c>
    </row>
    <row r="19" spans="1:3" ht="14.25" customHeight="1">
      <c r="C19" s="34"/>
    </row>
    <row r="20" spans="1:3" ht="14.25" customHeight="1">
      <c r="C20" s="34"/>
    </row>
    <row r="21" spans="1:3" ht="14.25" customHeight="1">
      <c r="C21" s="34"/>
    </row>
    <row r="22" spans="1:3" ht="14.25" customHeight="1">
      <c r="C22" s="34"/>
    </row>
    <row r="23" spans="1:3" ht="14.25" customHeight="1">
      <c r="A23" s="21" t="s">
        <v>178</v>
      </c>
      <c r="C23" s="34"/>
    </row>
    <row r="24" spans="1:3" ht="14.25" customHeight="1">
      <c r="C24" s="34"/>
    </row>
    <row r="25" spans="1:3" ht="14.25" customHeight="1">
      <c r="A25" s="21" t="s">
        <v>278</v>
      </c>
      <c r="C25" s="34">
        <v>3000</v>
      </c>
    </row>
    <row r="26" spans="1:3" ht="14.25" customHeight="1"/>
    <row r="27" spans="1:3" ht="14.25" customHeight="1">
      <c r="A27" s="21" t="s">
        <v>179</v>
      </c>
      <c r="C27" s="35">
        <f>SUM(C25:C26)</f>
        <v>3000</v>
      </c>
    </row>
    <row r="28" spans="1:3" ht="14.25" customHeight="1"/>
    <row r="29" spans="1:3" ht="14.25" customHeight="1"/>
    <row r="30" spans="1:3" ht="14.25" customHeight="1"/>
    <row r="31" spans="1:3" ht="14.25" customHeight="1"/>
    <row r="32" spans="1:3" ht="14.25" customHeight="1">
      <c r="A32" s="32" t="s">
        <v>180</v>
      </c>
      <c r="B32" s="35">
        <f>C8</f>
        <v>53500</v>
      </c>
    </row>
    <row r="33" spans="1:2" ht="14.25" customHeight="1">
      <c r="A33" s="32" t="s">
        <v>181</v>
      </c>
      <c r="B33" s="35">
        <f>C18</f>
        <v>14738</v>
      </c>
    </row>
    <row r="34" spans="1:2" ht="14.25" customHeight="1">
      <c r="A34" s="19" t="s">
        <v>182</v>
      </c>
      <c r="B34" s="39">
        <f>C27</f>
        <v>3000</v>
      </c>
    </row>
    <row r="35" spans="1:2" ht="14.25" customHeight="1"/>
    <row r="36" spans="1:2" ht="14.25" customHeight="1">
      <c r="B36" s="34">
        <f>SUM(B32:B35)</f>
        <v>71238</v>
      </c>
    </row>
    <row r="37" spans="1:2" ht="14.25" customHeight="1"/>
    <row r="38" spans="1:2" ht="14.25" customHeight="1"/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E3" sqref="E3"/>
    </sheetView>
  </sheetViews>
  <sheetFormatPr defaultColWidth="12.625" defaultRowHeight="15" customHeight="1"/>
  <cols>
    <col min="1" max="1" width="16.375" customWidth="1"/>
    <col min="2" max="2" width="3.75" customWidth="1"/>
    <col min="3" max="3" width="8.875" customWidth="1"/>
    <col min="4" max="4" width="7" customWidth="1"/>
    <col min="5" max="5" width="8.75" customWidth="1"/>
    <col min="6" max="6" width="9.375" customWidth="1"/>
    <col min="7" max="7" width="9.2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19" t="s">
        <v>52</v>
      </c>
      <c r="J1" s="20" t="s">
        <v>53</v>
      </c>
      <c r="K1" s="20" t="s">
        <v>54</v>
      </c>
      <c r="L1" s="20" t="s">
        <v>55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4" t="s">
        <v>183</v>
      </c>
      <c r="B2" s="22">
        <v>1</v>
      </c>
      <c r="C2" s="24">
        <f>156910*1.02</f>
        <v>160048.20000000001</v>
      </c>
      <c r="D2" s="24">
        <v>0</v>
      </c>
      <c r="E2" s="24">
        <f>D2+C2</f>
        <v>160048.20000000001</v>
      </c>
      <c r="F2" s="24">
        <f>C2*L26</f>
        <v>14404.338</v>
      </c>
      <c r="G2" s="24">
        <f>C2*L27</f>
        <v>3457.0411200000003</v>
      </c>
      <c r="H2" s="24">
        <f>C2*L28</f>
        <v>928.27955999999995</v>
      </c>
      <c r="I2" s="24">
        <f t="shared" ref="I2:I7" si="0">C2+F2+G2+H2</f>
        <v>178837.85868</v>
      </c>
      <c r="J2" s="24">
        <f>C2*L29</f>
        <v>2320.6989000000003</v>
      </c>
      <c r="K2" s="24"/>
      <c r="L2" s="24"/>
      <c r="M2" s="24"/>
    </row>
    <row r="3" spans="1:26" ht="14.25" customHeight="1">
      <c r="A3" s="21" t="s">
        <v>69</v>
      </c>
      <c r="B3" s="22">
        <v>0</v>
      </c>
      <c r="C3" s="24">
        <v>0</v>
      </c>
      <c r="D3" s="24">
        <v>0</v>
      </c>
      <c r="E3" s="24">
        <f t="shared" ref="E3:E9" si="1">D3+C3</f>
        <v>0</v>
      </c>
      <c r="F3" s="24">
        <f>C3*L26</f>
        <v>0</v>
      </c>
      <c r="G3" s="24">
        <f>C3*L27</f>
        <v>0</v>
      </c>
      <c r="H3" s="24">
        <f>C3*L28</f>
        <v>0</v>
      </c>
      <c r="I3" s="24">
        <f t="shared" si="0"/>
        <v>0</v>
      </c>
      <c r="J3" s="24">
        <f>C3*L29</f>
        <v>0</v>
      </c>
      <c r="K3" s="24"/>
      <c r="L3" s="24"/>
      <c r="M3" s="24"/>
    </row>
    <row r="4" spans="1:26" ht="14.25" customHeight="1">
      <c r="A4" s="21" t="s">
        <v>69</v>
      </c>
      <c r="B4" s="22">
        <v>0</v>
      </c>
      <c r="C4" s="24">
        <v>0</v>
      </c>
      <c r="D4" s="24">
        <v>0</v>
      </c>
      <c r="E4" s="24">
        <f t="shared" si="1"/>
        <v>0</v>
      </c>
      <c r="F4" s="24">
        <f>C4*L26</f>
        <v>0</v>
      </c>
      <c r="G4" s="24">
        <f>C4*L27</f>
        <v>0</v>
      </c>
      <c r="H4" s="24">
        <f>C4*L28</f>
        <v>0</v>
      </c>
      <c r="I4" s="24">
        <f t="shared" si="0"/>
        <v>0</v>
      </c>
      <c r="J4" s="24">
        <f>C4*L29</f>
        <v>0</v>
      </c>
      <c r="K4" s="24"/>
      <c r="L4" s="24"/>
      <c r="M4" s="24"/>
    </row>
    <row r="5" spans="1:26" ht="14.25" customHeight="1">
      <c r="A5" s="21" t="s">
        <v>69</v>
      </c>
      <c r="B5" s="22">
        <v>0</v>
      </c>
      <c r="C5" s="24">
        <v>0</v>
      </c>
      <c r="D5" s="24">
        <v>0</v>
      </c>
      <c r="E5" s="24">
        <f t="shared" si="1"/>
        <v>0</v>
      </c>
      <c r="F5" s="24">
        <f>C5*L26</f>
        <v>0</v>
      </c>
      <c r="G5" s="24">
        <f>C5*L27</f>
        <v>0</v>
      </c>
      <c r="H5" s="24">
        <f>C5*L28</f>
        <v>0</v>
      </c>
      <c r="I5" s="24">
        <f t="shared" si="0"/>
        <v>0</v>
      </c>
      <c r="J5" s="24">
        <f>C5*L29</f>
        <v>0</v>
      </c>
      <c r="K5" s="24"/>
      <c r="L5" s="24"/>
      <c r="M5" s="24"/>
    </row>
    <row r="6" spans="1:26" ht="14.25" customHeight="1">
      <c r="A6" s="21" t="s">
        <v>69</v>
      </c>
      <c r="B6" s="22">
        <v>0</v>
      </c>
      <c r="C6" s="24">
        <v>0</v>
      </c>
      <c r="D6" s="24"/>
      <c r="E6" s="24">
        <f t="shared" si="1"/>
        <v>0</v>
      </c>
      <c r="F6" s="24">
        <f>C6*L26</f>
        <v>0</v>
      </c>
      <c r="G6" s="24">
        <f>C6*L27</f>
        <v>0</v>
      </c>
      <c r="H6" s="24">
        <f>C6*L28</f>
        <v>0</v>
      </c>
      <c r="I6" s="24">
        <f t="shared" si="0"/>
        <v>0</v>
      </c>
      <c r="J6" s="24">
        <f>C6*L29</f>
        <v>0</v>
      </c>
      <c r="K6" s="24"/>
      <c r="L6" s="24"/>
      <c r="M6" s="24"/>
    </row>
    <row r="7" spans="1:26" ht="14.25" customHeight="1">
      <c r="A7" s="21" t="s">
        <v>69</v>
      </c>
      <c r="B7" s="28">
        <v>0</v>
      </c>
      <c r="C7" s="30">
        <v>0</v>
      </c>
      <c r="D7" s="30"/>
      <c r="E7" s="24">
        <f t="shared" si="1"/>
        <v>0</v>
      </c>
      <c r="F7" s="30">
        <f>C7*L26</f>
        <v>0</v>
      </c>
      <c r="G7" s="30">
        <f>C7*L27</f>
        <v>0</v>
      </c>
      <c r="H7" s="30">
        <f>C7*L28</f>
        <v>0</v>
      </c>
      <c r="I7" s="30">
        <f t="shared" si="0"/>
        <v>0</v>
      </c>
      <c r="J7" s="30">
        <f>C7*L29</f>
        <v>0</v>
      </c>
      <c r="K7" s="30"/>
      <c r="L7" s="30"/>
      <c r="M7" s="24"/>
    </row>
    <row r="8" spans="1:26" ht="14.25" customHeight="1">
      <c r="A8" s="32" t="s">
        <v>184</v>
      </c>
      <c r="B8" s="22">
        <f>SUM(B2:B7)</f>
        <v>1</v>
      </c>
      <c r="C8" s="31">
        <f>SUM(C2:C7)</f>
        <v>160048.20000000001</v>
      </c>
      <c r="D8" s="31">
        <f>SUM(D2:D7)</f>
        <v>0</v>
      </c>
      <c r="E8" s="31">
        <f t="shared" si="1"/>
        <v>160048.20000000001</v>
      </c>
      <c r="F8" s="31">
        <f>SUM(F2:F7)</f>
        <v>14404.338</v>
      </c>
      <c r="G8" s="31">
        <f>SUM(G2:G7)</f>
        <v>3457.0411200000003</v>
      </c>
      <c r="H8" s="31">
        <f>SUM(H2:H7)</f>
        <v>928.27955999999995</v>
      </c>
      <c r="I8" s="31">
        <f>SUM(I2:I7)</f>
        <v>178837.85868</v>
      </c>
      <c r="J8" s="31">
        <f>SUM(J2:J7)</f>
        <v>2320.6989000000003</v>
      </c>
      <c r="K8" s="24"/>
      <c r="L8" s="31">
        <f>B8*L31</f>
        <v>66</v>
      </c>
      <c r="M8" s="24"/>
    </row>
    <row r="9" spans="1:26" ht="14.25" customHeight="1">
      <c r="A9" s="21" t="s">
        <v>69</v>
      </c>
      <c r="B9" s="22"/>
      <c r="C9" s="24"/>
      <c r="D9" s="24"/>
      <c r="E9" s="24">
        <f t="shared" si="1"/>
        <v>0</v>
      </c>
      <c r="F9" s="24"/>
      <c r="G9" s="24"/>
      <c r="H9" s="24"/>
      <c r="I9" s="24"/>
      <c r="J9" s="24"/>
      <c r="K9" s="24"/>
      <c r="L9" s="24"/>
      <c r="M9" s="24"/>
    </row>
    <row r="10" spans="1:26" ht="14.25" customHeight="1">
      <c r="B10" s="2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26" ht="14.25" customHeight="1"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26" ht="14.2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26" ht="14.25" customHeight="1">
      <c r="A13" s="32" t="s">
        <v>185</v>
      </c>
      <c r="B13" s="22"/>
      <c r="C13" s="24"/>
      <c r="D13" s="24"/>
      <c r="E13" s="24"/>
      <c r="F13" s="31" t="s">
        <v>186</v>
      </c>
      <c r="G13" s="24"/>
      <c r="H13" s="24"/>
      <c r="I13" s="24"/>
      <c r="J13" s="24"/>
      <c r="K13" s="24"/>
      <c r="L13" s="24"/>
      <c r="M13" s="24"/>
    </row>
    <row r="14" spans="1:26" ht="14.25" customHeight="1">
      <c r="A14" s="21" t="s">
        <v>187</v>
      </c>
      <c r="B14" s="22"/>
      <c r="C14" s="24">
        <v>5000</v>
      </c>
      <c r="D14" s="24"/>
      <c r="E14" s="24"/>
      <c r="F14" s="24" t="s">
        <v>188</v>
      </c>
      <c r="G14" s="24"/>
      <c r="H14" s="31">
        <v>9250</v>
      </c>
      <c r="I14" s="24"/>
      <c r="J14" s="24"/>
      <c r="K14" s="24"/>
      <c r="L14" s="24"/>
      <c r="M14" s="24"/>
    </row>
    <row r="15" spans="1:26" ht="14.25" customHeight="1">
      <c r="A15" s="21" t="s">
        <v>189</v>
      </c>
      <c r="B15" s="22"/>
      <c r="C15" s="24">
        <v>752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26" ht="14.25" customHeight="1">
      <c r="A16" s="21" t="s">
        <v>190</v>
      </c>
      <c r="B16" s="22"/>
      <c r="C16" s="24">
        <v>1000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26" ht="14.25" customHeight="1">
      <c r="A17" s="21" t="s">
        <v>191</v>
      </c>
      <c r="B17" s="22"/>
      <c r="C17" s="24">
        <v>11500</v>
      </c>
      <c r="D17" s="24"/>
      <c r="E17" s="24"/>
      <c r="F17" s="31" t="s">
        <v>192</v>
      </c>
      <c r="G17" s="24"/>
      <c r="H17" s="24"/>
      <c r="I17" s="24"/>
      <c r="J17" s="24"/>
      <c r="K17" s="24"/>
      <c r="L17" s="24"/>
      <c r="M17" s="24"/>
    </row>
    <row r="18" spans="1:26" ht="14.25" customHeight="1">
      <c r="A18" s="21" t="s">
        <v>193</v>
      </c>
      <c r="B18" s="22"/>
      <c r="C18" s="24">
        <v>8000</v>
      </c>
      <c r="D18" s="24"/>
      <c r="E18" s="24"/>
      <c r="F18" s="24" t="s">
        <v>194</v>
      </c>
      <c r="G18" s="24"/>
      <c r="H18" s="31">
        <v>5500</v>
      </c>
      <c r="I18" s="24"/>
      <c r="J18" s="24"/>
      <c r="K18" s="24"/>
      <c r="L18" s="24"/>
      <c r="M18" s="24"/>
    </row>
    <row r="19" spans="1:26" ht="14.25" customHeight="1">
      <c r="A19" s="21" t="s">
        <v>195</v>
      </c>
      <c r="B19" s="22" t="s">
        <v>69</v>
      </c>
      <c r="C19" s="24">
        <v>3500</v>
      </c>
      <c r="D19" s="24"/>
      <c r="E19" s="24" t="s">
        <v>69</v>
      </c>
      <c r="F19" s="24"/>
      <c r="G19" s="24"/>
      <c r="H19" s="24"/>
      <c r="I19" s="24"/>
      <c r="J19" s="24" t="s">
        <v>69</v>
      </c>
      <c r="K19" s="24" t="s">
        <v>69</v>
      </c>
      <c r="L19" s="24"/>
      <c r="M19" s="24"/>
    </row>
    <row r="20" spans="1:26" ht="14.25" customHeight="1">
      <c r="A20" s="21" t="s">
        <v>196</v>
      </c>
      <c r="B20" s="22" t="s">
        <v>69</v>
      </c>
      <c r="C20" s="24">
        <v>12000</v>
      </c>
      <c r="D20" s="24"/>
      <c r="E20" s="24" t="s">
        <v>69</v>
      </c>
      <c r="F20" s="24"/>
      <c r="G20" s="24"/>
      <c r="H20" s="24"/>
      <c r="I20" s="24"/>
      <c r="J20" s="24" t="s">
        <v>69</v>
      </c>
      <c r="K20" s="24" t="s">
        <v>69</v>
      </c>
      <c r="L20" s="24"/>
      <c r="M20" s="24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14.25" customHeight="1">
      <c r="A21" s="21" t="s">
        <v>197</v>
      </c>
      <c r="B21" s="22" t="s">
        <v>69</v>
      </c>
      <c r="C21" s="24">
        <v>3000</v>
      </c>
      <c r="D21" s="24" t="s">
        <v>69</v>
      </c>
      <c r="E21" s="24" t="s">
        <v>69</v>
      </c>
      <c r="F21" s="24" t="s">
        <v>69</v>
      </c>
      <c r="G21" s="24" t="s">
        <v>69</v>
      </c>
      <c r="H21" s="24" t="s">
        <v>69</v>
      </c>
      <c r="I21" s="24" t="s">
        <v>69</v>
      </c>
      <c r="J21" s="24" t="s">
        <v>69</v>
      </c>
      <c r="K21" s="24" t="s">
        <v>69</v>
      </c>
      <c r="L21" s="24"/>
      <c r="M21" s="24"/>
    </row>
    <row r="22" spans="1:26" ht="14.25" customHeight="1">
      <c r="A22" s="21" t="s">
        <v>198</v>
      </c>
      <c r="B22" s="22"/>
      <c r="C22" s="24">
        <v>5550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26" ht="14.25" customHeight="1">
      <c r="A23" s="21" t="s">
        <v>72</v>
      </c>
      <c r="B23" s="21" t="s">
        <v>69</v>
      </c>
      <c r="C23" s="34">
        <f>(B8*10000)*0.014</f>
        <v>140</v>
      </c>
      <c r="D23" s="24" t="s">
        <v>69</v>
      </c>
      <c r="E23" s="24" t="s">
        <v>69</v>
      </c>
      <c r="F23" s="24" t="s">
        <v>69</v>
      </c>
      <c r="G23" s="24" t="s">
        <v>69</v>
      </c>
      <c r="H23" s="24" t="s">
        <v>69</v>
      </c>
      <c r="I23" s="24" t="s">
        <v>69</v>
      </c>
      <c r="J23" s="24" t="s">
        <v>69</v>
      </c>
      <c r="K23" s="24" t="s">
        <v>69</v>
      </c>
      <c r="L23" s="24" t="s">
        <v>69</v>
      </c>
      <c r="M23" s="24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4.25" customHeight="1">
      <c r="A24" s="38" t="s">
        <v>75</v>
      </c>
      <c r="B24" s="38"/>
      <c r="C24" s="45">
        <f>C8*0.0065</f>
        <v>1040.3133</v>
      </c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26" ht="14.25" customHeight="1">
      <c r="A25" s="93" t="s">
        <v>69</v>
      </c>
      <c r="B25" s="93"/>
      <c r="C25" s="34" t="s">
        <v>69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26" ht="14.25" customHeight="1">
      <c r="A26" s="32" t="s">
        <v>84</v>
      </c>
      <c r="C26" s="35">
        <f>SUM(C14:C25)</f>
        <v>51482.313300000002</v>
      </c>
      <c r="D26" s="33"/>
      <c r="E26" s="33" t="s">
        <v>73</v>
      </c>
      <c r="F26" s="24" t="s">
        <v>199</v>
      </c>
      <c r="G26" s="35">
        <f>C8</f>
        <v>160048.20000000001</v>
      </c>
      <c r="J26" s="33"/>
      <c r="K26" s="33" t="s">
        <v>74</v>
      </c>
      <c r="L26" s="21">
        <v>0.09</v>
      </c>
    </row>
    <row r="27" spans="1:26" ht="14.25" customHeight="1">
      <c r="E27" s="21" t="s">
        <v>76</v>
      </c>
      <c r="F27" s="21" t="s">
        <v>200</v>
      </c>
      <c r="G27" s="35">
        <f>F8+G8+H8+J8+L8</f>
        <v>21176.35758</v>
      </c>
      <c r="K27" s="21" t="s">
        <v>77</v>
      </c>
      <c r="L27" s="21">
        <v>2.1600000000000001E-2</v>
      </c>
    </row>
    <row r="28" spans="1:26" ht="14.25" customHeight="1">
      <c r="E28" s="21" t="s">
        <v>79</v>
      </c>
      <c r="F28" s="21" t="s">
        <v>201</v>
      </c>
      <c r="G28" s="35">
        <f>C26</f>
        <v>51482.313300000002</v>
      </c>
      <c r="K28" s="21" t="s">
        <v>80</v>
      </c>
      <c r="L28" s="21">
        <v>5.7999999999999996E-3</v>
      </c>
    </row>
    <row r="29" spans="1:26" ht="14.25" customHeight="1">
      <c r="A29" s="21" t="s">
        <v>69</v>
      </c>
      <c r="C29" s="34" t="s">
        <v>69</v>
      </c>
      <c r="E29" s="21" t="s">
        <v>82</v>
      </c>
      <c r="F29" s="21" t="s">
        <v>202</v>
      </c>
      <c r="G29" s="35">
        <f>H14</f>
        <v>9250</v>
      </c>
      <c r="K29" s="21" t="s">
        <v>83</v>
      </c>
      <c r="L29" s="21">
        <v>1.4500000000000001E-2</v>
      </c>
    </row>
    <row r="30" spans="1:26" ht="14.25" customHeight="1">
      <c r="E30" s="38" t="s">
        <v>85</v>
      </c>
      <c r="F30" s="38" t="s">
        <v>203</v>
      </c>
      <c r="G30" s="39">
        <f>H18</f>
        <v>5500</v>
      </c>
      <c r="K30" s="21" t="s">
        <v>86</v>
      </c>
      <c r="L30" s="21">
        <v>6.2E-2</v>
      </c>
    </row>
    <row r="31" spans="1:26" ht="14.25" customHeight="1">
      <c r="A31" s="32" t="s">
        <v>69</v>
      </c>
      <c r="C31" s="35" t="s">
        <v>69</v>
      </c>
      <c r="K31" s="21" t="s">
        <v>88</v>
      </c>
      <c r="L31" s="21">
        <v>66</v>
      </c>
    </row>
    <row r="32" spans="1:26" ht="14.25" customHeight="1">
      <c r="A32" s="32" t="s">
        <v>69</v>
      </c>
      <c r="C32" s="35" t="s">
        <v>69</v>
      </c>
      <c r="E32" s="32" t="s">
        <v>204</v>
      </c>
      <c r="F32" s="32"/>
      <c r="G32" s="40">
        <f>SUM(G26:G31)</f>
        <v>247456.87088000003</v>
      </c>
      <c r="K32" s="21" t="s">
        <v>91</v>
      </c>
      <c r="L32" s="21">
        <v>6.4999999999999997E-3</v>
      </c>
    </row>
    <row r="33" spans="11:12" ht="14.25" customHeight="1">
      <c r="K33" s="21" t="s">
        <v>92</v>
      </c>
      <c r="L33" s="21">
        <v>1.4E-2</v>
      </c>
    </row>
    <row r="34" spans="11:12" ht="14.25" customHeight="1"/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00"/>
  <sheetViews>
    <sheetView workbookViewId="0">
      <selection activeCell="G22" sqref="G22"/>
    </sheetView>
  </sheetViews>
  <sheetFormatPr defaultColWidth="12.625" defaultRowHeight="15" customHeight="1"/>
  <cols>
    <col min="1" max="1" width="24.25" customWidth="1"/>
    <col min="2" max="2" width="11.875" customWidth="1"/>
    <col min="3" max="6" width="7.625" customWidth="1"/>
    <col min="7" max="7" width="8.875" customWidth="1"/>
    <col min="8" max="26" width="7.625" customWidth="1"/>
  </cols>
  <sheetData>
    <row r="1" spans="1:8" ht="14.25" customHeight="1">
      <c r="A1" s="21" t="s">
        <v>205</v>
      </c>
    </row>
    <row r="2" spans="1:8" ht="14.25" customHeight="1">
      <c r="A2" s="21" t="s">
        <v>206</v>
      </c>
      <c r="B2" s="20" t="s">
        <v>48</v>
      </c>
      <c r="C2" s="20" t="s">
        <v>53</v>
      </c>
      <c r="D2" s="20" t="s">
        <v>54</v>
      </c>
      <c r="E2" s="20" t="s">
        <v>94</v>
      </c>
    </row>
    <row r="3" spans="1:8" ht="14.25" customHeight="1">
      <c r="A3" s="25" t="s">
        <v>207</v>
      </c>
      <c r="B3" s="33">
        <v>1600</v>
      </c>
      <c r="C3" s="33">
        <f>B3*H8</f>
        <v>23.200000000000003</v>
      </c>
      <c r="D3" s="33">
        <f>B3*H9</f>
        <v>99.2</v>
      </c>
      <c r="E3" s="33">
        <f>B3*H11</f>
        <v>204</v>
      </c>
    </row>
    <row r="4" spans="1:8" ht="14.25" customHeight="1"/>
    <row r="5" spans="1:8" ht="14.25" customHeight="1">
      <c r="G5" s="33" t="s">
        <v>74</v>
      </c>
      <c r="H5" s="21">
        <v>0.09</v>
      </c>
    </row>
    <row r="6" spans="1:8" ht="14.25" customHeight="1">
      <c r="G6" s="21" t="s">
        <v>77</v>
      </c>
      <c r="H6" s="21">
        <v>2.1600000000000001E-2</v>
      </c>
    </row>
    <row r="7" spans="1:8" ht="14.25" customHeight="1">
      <c r="A7" s="21" t="s">
        <v>208</v>
      </c>
      <c r="B7" s="34" t="s">
        <v>69</v>
      </c>
      <c r="C7" s="93" t="s">
        <v>69</v>
      </c>
      <c r="D7" s="21" t="s">
        <v>69</v>
      </c>
      <c r="G7" s="21" t="s">
        <v>80</v>
      </c>
      <c r="H7" s="21">
        <v>5.7999999999999996E-3</v>
      </c>
    </row>
    <row r="8" spans="1:8" ht="14.25" customHeight="1">
      <c r="A8" s="93" t="s">
        <v>209</v>
      </c>
      <c r="B8" s="34">
        <v>4000</v>
      </c>
      <c r="C8" s="21" t="s">
        <v>69</v>
      </c>
      <c r="G8" s="21" t="s">
        <v>83</v>
      </c>
      <c r="H8" s="21">
        <v>1.4500000000000001E-2</v>
      </c>
    </row>
    <row r="9" spans="1:8" ht="14.25" customHeight="1">
      <c r="A9" s="21" t="s">
        <v>210</v>
      </c>
      <c r="B9" s="34">
        <v>9450</v>
      </c>
      <c r="G9" s="21" t="s">
        <v>86</v>
      </c>
      <c r="H9" s="21">
        <v>6.2E-2</v>
      </c>
    </row>
    <row r="10" spans="1:8" ht="14.25" customHeight="1">
      <c r="A10" s="21" t="s">
        <v>211</v>
      </c>
      <c r="B10" s="34">
        <v>20300</v>
      </c>
      <c r="G10" s="21" t="s">
        <v>88</v>
      </c>
      <c r="H10" s="47">
        <f>SSW!L31</f>
        <v>8000</v>
      </c>
    </row>
    <row r="11" spans="1:8" ht="14.25" customHeight="1">
      <c r="A11" s="21" t="s">
        <v>212</v>
      </c>
      <c r="B11" s="34">
        <v>1100</v>
      </c>
      <c r="G11" s="21" t="s">
        <v>111</v>
      </c>
      <c r="H11" s="21">
        <v>0.1275</v>
      </c>
    </row>
    <row r="12" spans="1:8" ht="14.25" customHeight="1">
      <c r="A12" s="38" t="s">
        <v>213</v>
      </c>
      <c r="B12" s="45">
        <v>20000</v>
      </c>
      <c r="G12" s="21" t="s">
        <v>91</v>
      </c>
      <c r="H12" s="21">
        <v>6.4999999999999997E-3</v>
      </c>
    </row>
    <row r="13" spans="1:8" ht="14.25" customHeight="1">
      <c r="B13" s="34"/>
      <c r="G13" s="21" t="s">
        <v>92</v>
      </c>
      <c r="H13" s="21">
        <v>1.4E-2</v>
      </c>
    </row>
    <row r="14" spans="1:8" ht="14.25" customHeight="1">
      <c r="A14" s="21" t="s">
        <v>214</v>
      </c>
      <c r="B14" s="34">
        <f>SUM(B7:B13)</f>
        <v>54850</v>
      </c>
    </row>
    <row r="15" spans="1:8" ht="14.25" customHeight="1">
      <c r="B15" s="34"/>
    </row>
    <row r="16" spans="1:8" ht="14.25" customHeight="1">
      <c r="B16" s="34"/>
    </row>
    <row r="17" spans="1:7" ht="14.25" customHeight="1">
      <c r="B17" s="34"/>
      <c r="D17" s="32"/>
      <c r="E17" s="32"/>
      <c r="F17" s="32" t="s">
        <v>206</v>
      </c>
      <c r="G17" s="94">
        <f>B3</f>
        <v>1600</v>
      </c>
    </row>
    <row r="18" spans="1:7" ht="14.25" customHeight="1">
      <c r="A18" s="21" t="s">
        <v>215</v>
      </c>
      <c r="B18" s="34"/>
      <c r="D18" s="32"/>
      <c r="E18" s="32"/>
      <c r="F18" s="32" t="s">
        <v>216</v>
      </c>
      <c r="G18" s="94">
        <f>C3+D3+E3</f>
        <v>326.39999999999998</v>
      </c>
    </row>
    <row r="19" spans="1:7" ht="14.25" customHeight="1">
      <c r="A19" s="21" t="s">
        <v>217</v>
      </c>
      <c r="B19" s="34">
        <v>7200</v>
      </c>
      <c r="D19" s="32" t="s">
        <v>69</v>
      </c>
      <c r="E19" s="35" t="s">
        <v>69</v>
      </c>
      <c r="F19" s="32" t="s">
        <v>218</v>
      </c>
      <c r="G19" s="35">
        <f>B14</f>
        <v>54850</v>
      </c>
    </row>
    <row r="20" spans="1:7" ht="14.25" customHeight="1">
      <c r="A20" s="21" t="s">
        <v>219</v>
      </c>
      <c r="B20" s="34">
        <v>1500</v>
      </c>
      <c r="F20" s="32" t="s">
        <v>220</v>
      </c>
      <c r="G20" s="35">
        <f>B23</f>
        <v>18200</v>
      </c>
    </row>
    <row r="21" spans="1:7" ht="14.25" customHeight="1">
      <c r="A21" s="38" t="s">
        <v>221</v>
      </c>
      <c r="B21" s="45">
        <v>9500</v>
      </c>
      <c r="F21" s="32" t="s">
        <v>222</v>
      </c>
      <c r="G21" s="35">
        <f>B26</f>
        <v>0</v>
      </c>
    </row>
    <row r="22" spans="1:7" ht="14.25" customHeight="1">
      <c r="B22" s="34"/>
    </row>
    <row r="23" spans="1:7" ht="14.25" customHeight="1">
      <c r="A23" s="21" t="s">
        <v>223</v>
      </c>
      <c r="B23" s="34">
        <f>SUM(B19:B22)</f>
        <v>18200</v>
      </c>
      <c r="F23" s="32" t="s">
        <v>224</v>
      </c>
      <c r="G23" s="33">
        <f>SUM(G17:G22)</f>
        <v>74976.399999999994</v>
      </c>
    </row>
    <row r="24" spans="1:7" ht="14.25" customHeight="1">
      <c r="B24" s="34"/>
    </row>
    <row r="25" spans="1:7" ht="14.25" customHeight="1">
      <c r="B25" s="34"/>
    </row>
    <row r="26" spans="1:7" ht="14.25" customHeight="1">
      <c r="A26" s="21" t="s">
        <v>225</v>
      </c>
      <c r="B26" s="34">
        <v>0</v>
      </c>
    </row>
    <row r="27" spans="1:7" ht="14.25" customHeight="1">
      <c r="B27" s="34"/>
    </row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C7" sqref="C7"/>
    </sheetView>
  </sheetViews>
  <sheetFormatPr defaultColWidth="12.625" defaultRowHeight="15" customHeight="1"/>
  <cols>
    <col min="1" max="1" width="15.875" customWidth="1"/>
    <col min="2" max="2" width="3.75" customWidth="1"/>
    <col min="3" max="3" width="9" customWidth="1"/>
    <col min="4" max="4" width="6.5" customWidth="1"/>
    <col min="5" max="5" width="8.75" customWidth="1"/>
    <col min="6" max="6" width="9.25" customWidth="1"/>
    <col min="7" max="7" width="7.125" customWidth="1"/>
    <col min="8" max="8" width="5.75" customWidth="1"/>
    <col min="9" max="9" width="9" customWidth="1"/>
    <col min="10" max="10" width="6.125" customWidth="1"/>
    <col min="11" max="11" width="11" customWidth="1"/>
    <col min="12" max="12" width="10.125" customWidth="1"/>
    <col min="13" max="14" width="7.625" customWidth="1"/>
    <col min="15" max="15" width="9.25" customWidth="1"/>
    <col min="16" max="16" width="4.25" customWidth="1"/>
    <col min="17" max="17" width="5.75" customWidth="1"/>
    <col min="18" max="18" width="10.75" customWidth="1"/>
    <col min="19" max="19" width="4.5" customWidth="1"/>
    <col min="20" max="20" width="3.75" customWidth="1"/>
    <col min="21" max="21" width="9.75" customWidth="1"/>
    <col min="22" max="22" width="5.25" customWidth="1"/>
    <col min="23" max="23" width="11.375" customWidth="1"/>
    <col min="24" max="24" width="11.75" customWidth="1"/>
    <col min="25" max="26" width="7.625" customWidth="1"/>
  </cols>
  <sheetData>
    <row r="1" spans="1:26" ht="14.25" customHeight="1">
      <c r="A1" s="123" t="s">
        <v>44</v>
      </c>
      <c r="B1" s="123" t="s">
        <v>45</v>
      </c>
      <c r="C1" s="123" t="s">
        <v>46</v>
      </c>
      <c r="D1" s="124" t="s">
        <v>47</v>
      </c>
      <c r="E1" s="124" t="s">
        <v>48</v>
      </c>
      <c r="F1" s="124" t="s">
        <v>49</v>
      </c>
      <c r="G1" s="124" t="s">
        <v>50</v>
      </c>
      <c r="H1" s="124" t="s">
        <v>51</v>
      </c>
      <c r="I1" s="123" t="s">
        <v>52</v>
      </c>
      <c r="J1" s="124" t="s">
        <v>53</v>
      </c>
      <c r="K1" s="124" t="s">
        <v>54</v>
      </c>
      <c r="L1" s="124" t="s">
        <v>55</v>
      </c>
      <c r="M1" s="48" t="s">
        <v>226</v>
      </c>
      <c r="N1" s="19"/>
      <c r="O1" s="19" t="s">
        <v>227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25" t="s">
        <v>69</v>
      </c>
      <c r="B2" s="126">
        <v>0</v>
      </c>
      <c r="C2" s="127">
        <v>0</v>
      </c>
      <c r="D2" s="127">
        <v>0</v>
      </c>
      <c r="E2" s="127">
        <f t="shared" ref="E2:E17" si="0">D2+C2</f>
        <v>0</v>
      </c>
      <c r="F2" s="127">
        <f>C2*L24</f>
        <v>0</v>
      </c>
      <c r="G2" s="127">
        <f>C2*L25</f>
        <v>0</v>
      </c>
      <c r="H2" s="127">
        <f>C2*L26</f>
        <v>0</v>
      </c>
      <c r="I2" s="127">
        <f t="shared" ref="I2:I13" si="1">C2+F2+G2+H2</f>
        <v>0</v>
      </c>
      <c r="J2" s="127">
        <f>C2*L27</f>
        <v>0</v>
      </c>
      <c r="K2" s="127"/>
      <c r="L2" s="127"/>
      <c r="M2" s="24"/>
    </row>
    <row r="3" spans="1:26" ht="14.25" customHeight="1">
      <c r="A3" s="149" t="s">
        <v>287</v>
      </c>
      <c r="B3" s="128">
        <v>0.8</v>
      </c>
      <c r="C3" s="129">
        <f>92000*0.8</f>
        <v>73600</v>
      </c>
      <c r="D3" s="127">
        <v>0</v>
      </c>
      <c r="E3" s="127">
        <f t="shared" si="0"/>
        <v>73600</v>
      </c>
      <c r="F3" s="127">
        <f>C3*L24</f>
        <v>6624</v>
      </c>
      <c r="G3" s="127">
        <f>C3*L25</f>
        <v>1589.76</v>
      </c>
      <c r="H3" s="127">
        <f>C3*L26</f>
        <v>426.88</v>
      </c>
      <c r="I3" s="127">
        <f t="shared" si="1"/>
        <v>82240.639999999999</v>
      </c>
      <c r="J3" s="127">
        <f>C3*L27</f>
        <v>1067.2</v>
      </c>
      <c r="K3" s="127"/>
      <c r="L3" s="127">
        <f>B3*$L$29</f>
        <v>6400</v>
      </c>
      <c r="M3" s="24">
        <f>(I3+J3+L3)*0.5</f>
        <v>44853.919999999998</v>
      </c>
    </row>
    <row r="4" spans="1:26" ht="14.25" customHeight="1">
      <c r="A4" s="149" t="s">
        <v>288</v>
      </c>
      <c r="B4" s="126">
        <v>0.6</v>
      </c>
      <c r="C4" s="127">
        <v>42048</v>
      </c>
      <c r="D4" s="127">
        <v>0</v>
      </c>
      <c r="E4" s="127">
        <f t="shared" si="0"/>
        <v>42048</v>
      </c>
      <c r="F4" s="127">
        <f>C4*L24</f>
        <v>3784.3199999999997</v>
      </c>
      <c r="G4" s="127">
        <f>C4*L25</f>
        <v>908.23680000000002</v>
      </c>
      <c r="H4" s="127">
        <f>C4*L26</f>
        <v>243.87839999999997</v>
      </c>
      <c r="I4" s="127">
        <f t="shared" si="1"/>
        <v>46984.4352</v>
      </c>
      <c r="J4" s="127">
        <f>C4*L27</f>
        <v>609.69600000000003</v>
      </c>
      <c r="K4" s="127"/>
      <c r="L4" s="127">
        <f>B4*$L$29</f>
        <v>4800</v>
      </c>
      <c r="M4" s="24">
        <f>(I4+J4+L4)</f>
        <v>52394.131200000003</v>
      </c>
    </row>
    <row r="5" spans="1:26" ht="14.25" customHeight="1">
      <c r="A5" s="153" t="s">
        <v>228</v>
      </c>
      <c r="B5" s="126">
        <v>1</v>
      </c>
      <c r="C5" s="127">
        <f>92672*1.04</f>
        <v>96378.880000000005</v>
      </c>
      <c r="D5" s="127">
        <v>0</v>
      </c>
      <c r="E5" s="127">
        <f t="shared" si="0"/>
        <v>96378.880000000005</v>
      </c>
      <c r="F5" s="127">
        <f>C5*L24</f>
        <v>8674.0992000000006</v>
      </c>
      <c r="G5" s="127">
        <f>C5*L25</f>
        <v>2081.7838080000001</v>
      </c>
      <c r="H5" s="127">
        <f>C5*L26</f>
        <v>558.99750399999994</v>
      </c>
      <c r="I5" s="127">
        <f t="shared" si="1"/>
        <v>107693.76051200001</v>
      </c>
      <c r="J5" s="127">
        <f>C5*L27</f>
        <v>1397.4937600000001</v>
      </c>
      <c r="K5" s="127"/>
      <c r="L5" s="127">
        <f>B5*$L$29</f>
        <v>8000</v>
      </c>
      <c r="M5" s="24">
        <f>(I5+J5+L5)*0.4</f>
        <v>46836.501708800002</v>
      </c>
    </row>
    <row r="6" spans="1:26" ht="14.25" customHeight="1">
      <c r="A6" s="144" t="s">
        <v>229</v>
      </c>
      <c r="B6" s="22">
        <v>1</v>
      </c>
      <c r="C6" s="24">
        <f>82750*1.04</f>
        <v>86060</v>
      </c>
      <c r="D6" s="148">
        <v>3600</v>
      </c>
      <c r="E6" s="24">
        <f t="shared" si="0"/>
        <v>89660</v>
      </c>
      <c r="F6" s="24">
        <f>C6*L24</f>
        <v>7745.4</v>
      </c>
      <c r="G6" s="24">
        <f>C6*L25</f>
        <v>1858.8960000000002</v>
      </c>
      <c r="H6" s="24">
        <f>C6*L26</f>
        <v>499.14799999999997</v>
      </c>
      <c r="I6" s="24">
        <f t="shared" si="1"/>
        <v>96163.443999999989</v>
      </c>
      <c r="J6" s="24">
        <f>C6*L27</f>
        <v>1247.8700000000001</v>
      </c>
      <c r="K6" s="24"/>
      <c r="L6" s="24">
        <f>B6*$L$29</f>
        <v>8000</v>
      </c>
      <c r="M6" s="24"/>
      <c r="O6" s="24">
        <f>SUM(I6:N6)+(10000*0.014)+(E6*0.0065)</f>
        <v>106134.10399999998</v>
      </c>
    </row>
    <row r="7" spans="1:26" ht="14.25" customHeight="1">
      <c r="A7" s="144" t="s">
        <v>230</v>
      </c>
      <c r="B7" s="22">
        <v>1</v>
      </c>
      <c r="C7" s="24">
        <f>73000*1.04</f>
        <v>75920</v>
      </c>
      <c r="D7" s="24"/>
      <c r="E7" s="24">
        <f t="shared" si="0"/>
        <v>75920</v>
      </c>
      <c r="F7" s="24">
        <f>C7*L24</f>
        <v>6832.8</v>
      </c>
      <c r="G7" s="24">
        <f>C7*L25</f>
        <v>1639.8720000000001</v>
      </c>
      <c r="H7" s="24">
        <f>C7*L26</f>
        <v>440.33599999999996</v>
      </c>
      <c r="I7" s="24">
        <f t="shared" si="1"/>
        <v>84833.008000000002</v>
      </c>
      <c r="J7" s="24">
        <f>C7*L27</f>
        <v>1100.8400000000001</v>
      </c>
      <c r="K7" s="24"/>
      <c r="L7" s="24">
        <f>B7*$L$29</f>
        <v>8000</v>
      </c>
      <c r="M7" s="24">
        <f>(I7+J7+L7)*1</f>
        <v>93933.847999999998</v>
      </c>
    </row>
    <row r="8" spans="1:26" ht="14.25" customHeight="1">
      <c r="A8" s="21" t="s">
        <v>69</v>
      </c>
      <c r="B8" s="22">
        <v>0</v>
      </c>
      <c r="C8" s="24">
        <v>0</v>
      </c>
      <c r="D8" s="24">
        <v>0</v>
      </c>
      <c r="E8" s="24">
        <f t="shared" si="0"/>
        <v>0</v>
      </c>
      <c r="F8" s="24">
        <f>C8*L24</f>
        <v>0</v>
      </c>
      <c r="G8" s="24">
        <f>C8*L25</f>
        <v>0</v>
      </c>
      <c r="H8" s="24">
        <f>C8*L26</f>
        <v>0</v>
      </c>
      <c r="I8" s="24">
        <f t="shared" si="1"/>
        <v>0</v>
      </c>
      <c r="J8" s="24">
        <f>C8*L27</f>
        <v>0</v>
      </c>
      <c r="K8" s="24"/>
      <c r="L8" s="24"/>
      <c r="M8" s="24">
        <f>SUM(M3:M7)</f>
        <v>238018.40090880002</v>
      </c>
    </row>
    <row r="9" spans="1:26" ht="14.25" customHeight="1">
      <c r="A9" s="21" t="s">
        <v>69</v>
      </c>
      <c r="B9" s="22">
        <v>0</v>
      </c>
      <c r="C9" s="24">
        <v>0</v>
      </c>
      <c r="D9" s="24">
        <v>0</v>
      </c>
      <c r="E9" s="24">
        <f t="shared" si="0"/>
        <v>0</v>
      </c>
      <c r="F9" s="24">
        <f>C9*L24</f>
        <v>0</v>
      </c>
      <c r="G9" s="24">
        <f>C9*L25</f>
        <v>0</v>
      </c>
      <c r="H9" s="24">
        <f>C9*L26</f>
        <v>0</v>
      </c>
      <c r="I9" s="24">
        <f t="shared" si="1"/>
        <v>0</v>
      </c>
      <c r="J9" s="24">
        <f>C9*L27</f>
        <v>0</v>
      </c>
      <c r="K9" s="24"/>
      <c r="L9" s="24"/>
      <c r="M9" s="24">
        <f>C24/2</f>
        <v>308</v>
      </c>
    </row>
    <row r="10" spans="1:26" ht="14.25" customHeight="1">
      <c r="A10" s="21" t="s">
        <v>69</v>
      </c>
      <c r="B10" s="22">
        <v>0</v>
      </c>
      <c r="C10" s="24">
        <v>0</v>
      </c>
      <c r="D10" s="24">
        <v>0</v>
      </c>
      <c r="E10" s="24">
        <f t="shared" si="0"/>
        <v>0</v>
      </c>
      <c r="F10" s="24">
        <f>C10*L24</f>
        <v>0</v>
      </c>
      <c r="G10" s="24">
        <f>C10*L25</f>
        <v>0</v>
      </c>
      <c r="H10" s="24">
        <f>C10*L26</f>
        <v>0</v>
      </c>
      <c r="I10" s="24">
        <f t="shared" si="1"/>
        <v>0</v>
      </c>
      <c r="J10" s="24">
        <f>C10*L27</f>
        <v>0</v>
      </c>
      <c r="K10" s="24"/>
      <c r="L10" s="24"/>
      <c r="M10" s="24">
        <f>C25/2</f>
        <v>1215.5223599999999</v>
      </c>
    </row>
    <row r="11" spans="1:26" ht="14.25" customHeight="1">
      <c r="A11" s="21" t="s">
        <v>69</v>
      </c>
      <c r="B11" s="22">
        <v>0</v>
      </c>
      <c r="C11" s="24">
        <v>0</v>
      </c>
      <c r="D11" s="24"/>
      <c r="E11" s="24">
        <f t="shared" si="0"/>
        <v>0</v>
      </c>
      <c r="F11" s="24">
        <v>0</v>
      </c>
      <c r="G11" s="24">
        <v>0</v>
      </c>
      <c r="H11" s="24">
        <v>0</v>
      </c>
      <c r="I11" s="24">
        <f t="shared" si="1"/>
        <v>0</v>
      </c>
      <c r="J11" s="24">
        <f>C11*L27</f>
        <v>0</v>
      </c>
      <c r="K11" s="24"/>
      <c r="L11" s="24"/>
      <c r="M11" s="24">
        <f>C26/2</f>
        <v>10000</v>
      </c>
    </row>
    <row r="12" spans="1:26" ht="14.25" customHeight="1">
      <c r="A12" s="21" t="s">
        <v>69</v>
      </c>
      <c r="B12" s="22">
        <v>0</v>
      </c>
      <c r="C12" s="24">
        <v>0</v>
      </c>
      <c r="D12" s="24">
        <v>0</v>
      </c>
      <c r="E12" s="24">
        <f t="shared" si="0"/>
        <v>0</v>
      </c>
      <c r="F12" s="24">
        <f>C12*L24</f>
        <v>0</v>
      </c>
      <c r="G12" s="24">
        <f>C12*L25</f>
        <v>0</v>
      </c>
      <c r="H12" s="24">
        <f>C12*L26</f>
        <v>0</v>
      </c>
      <c r="I12" s="24">
        <f t="shared" si="1"/>
        <v>0</v>
      </c>
      <c r="J12" s="24">
        <f>C12*L27</f>
        <v>0</v>
      </c>
      <c r="K12" s="24"/>
      <c r="L12" s="24"/>
      <c r="M12" s="24">
        <f>C30/2</f>
        <v>3250</v>
      </c>
    </row>
    <row r="13" spans="1:26" ht="14.25" customHeight="1">
      <c r="A13" s="21" t="s">
        <v>69</v>
      </c>
      <c r="B13" s="28">
        <v>0</v>
      </c>
      <c r="C13" s="30">
        <v>0</v>
      </c>
      <c r="D13" s="30"/>
      <c r="E13" s="24">
        <f t="shared" si="0"/>
        <v>0</v>
      </c>
      <c r="F13" s="30">
        <f>C13*L24</f>
        <v>0</v>
      </c>
      <c r="G13" s="30">
        <f>C13*L25</f>
        <v>0</v>
      </c>
      <c r="H13" s="30">
        <f>C13*L26</f>
        <v>0</v>
      </c>
      <c r="I13" s="30">
        <f t="shared" si="1"/>
        <v>0</v>
      </c>
      <c r="J13" s="30">
        <f>C13*L27</f>
        <v>0</v>
      </c>
      <c r="K13" s="30"/>
      <c r="L13" s="30"/>
      <c r="M13" s="24"/>
    </row>
    <row r="14" spans="1:26" ht="14.25" customHeight="1">
      <c r="A14" s="21" t="s">
        <v>69</v>
      </c>
      <c r="B14" s="22">
        <f>SUM(B2:B13)</f>
        <v>4.4000000000000004</v>
      </c>
      <c r="C14" s="31">
        <f>SUM(C2:C13)</f>
        <v>374006.88</v>
      </c>
      <c r="D14" s="31">
        <f>SUM(D2:D13)</f>
        <v>3600</v>
      </c>
      <c r="E14" s="31">
        <f t="shared" si="0"/>
        <v>377606.88</v>
      </c>
      <c r="F14" s="31">
        <f>SUM(F2:F13)</f>
        <v>33660.619200000001</v>
      </c>
      <c r="G14" s="31">
        <f>SUM(G2:G13)</f>
        <v>8078.5486080000001</v>
      </c>
      <c r="H14" s="31">
        <f>SUM(H2:H13)</f>
        <v>2169.2399039999996</v>
      </c>
      <c r="I14" s="31">
        <f>SUM(I2:I13)</f>
        <v>417915.28771199996</v>
      </c>
      <c r="J14" s="31">
        <f>SUM(J2:J13)</f>
        <v>5423.0997600000001</v>
      </c>
      <c r="K14" s="24"/>
      <c r="L14" s="31">
        <f>B14*L29</f>
        <v>35200</v>
      </c>
      <c r="M14" s="24">
        <f>SUM(M8:M13)</f>
        <v>252791.92326880002</v>
      </c>
      <c r="N14" s="21" t="s">
        <v>231</v>
      </c>
    </row>
    <row r="15" spans="1:26" ht="14.25" customHeight="1">
      <c r="A15" s="21" t="s">
        <v>69</v>
      </c>
      <c r="B15" s="22"/>
      <c r="C15" s="24"/>
      <c r="D15" s="24"/>
      <c r="E15" s="24">
        <f t="shared" si="0"/>
        <v>0</v>
      </c>
      <c r="F15" s="24"/>
      <c r="G15" s="24"/>
      <c r="H15" s="24"/>
      <c r="I15" s="24"/>
      <c r="J15" s="24"/>
      <c r="K15" s="24"/>
      <c r="L15" s="24"/>
      <c r="M15" s="24"/>
    </row>
    <row r="16" spans="1:26" ht="14.25" customHeight="1">
      <c r="A16" s="21" t="s">
        <v>69</v>
      </c>
      <c r="B16" s="22">
        <v>0</v>
      </c>
      <c r="C16" s="24">
        <v>0</v>
      </c>
      <c r="D16" s="24"/>
      <c r="E16" s="24">
        <f t="shared" si="0"/>
        <v>0</v>
      </c>
      <c r="F16" s="24"/>
      <c r="G16" s="24"/>
      <c r="H16" s="24"/>
      <c r="I16" s="24"/>
      <c r="J16" s="24">
        <f>E16*L27</f>
        <v>0</v>
      </c>
      <c r="K16" s="24">
        <f>C16*L28</f>
        <v>0</v>
      </c>
      <c r="L16" s="24"/>
      <c r="M16" s="24"/>
    </row>
    <row r="17" spans="1:13" ht="14.25" customHeight="1">
      <c r="A17" s="21" t="s">
        <v>69</v>
      </c>
      <c r="B17" s="28">
        <v>0</v>
      </c>
      <c r="C17" s="30">
        <v>0</v>
      </c>
      <c r="D17" s="30"/>
      <c r="E17" s="30">
        <f t="shared" si="0"/>
        <v>0</v>
      </c>
      <c r="F17" s="30"/>
      <c r="G17" s="30"/>
      <c r="H17" s="30"/>
      <c r="I17" s="30"/>
      <c r="J17" s="30">
        <f>E17*L27</f>
        <v>0</v>
      </c>
      <c r="K17" s="30">
        <f>C17*L28</f>
        <v>0</v>
      </c>
      <c r="L17" s="24"/>
      <c r="M17" s="24"/>
    </row>
    <row r="18" spans="1:13" ht="14.25" customHeight="1">
      <c r="B18" s="22">
        <f t="shared" ref="B18:K18" si="2">SUM(B16:B17)</f>
        <v>0</v>
      </c>
      <c r="C18" s="24">
        <f t="shared" si="2"/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/>
      <c r="M18" s="24"/>
    </row>
    <row r="19" spans="1:13" ht="14.25" customHeight="1">
      <c r="A19" s="32" t="s">
        <v>70</v>
      </c>
      <c r="B19" s="22">
        <f t="shared" ref="B19:L19" si="3">B18+B14</f>
        <v>4.4000000000000004</v>
      </c>
      <c r="C19" s="31">
        <f t="shared" si="3"/>
        <v>374006.88</v>
      </c>
      <c r="D19" s="31">
        <f t="shared" si="3"/>
        <v>3600</v>
      </c>
      <c r="E19" s="31">
        <f t="shared" si="3"/>
        <v>377606.88</v>
      </c>
      <c r="F19" s="31">
        <f t="shared" si="3"/>
        <v>33660.619200000001</v>
      </c>
      <c r="G19" s="31">
        <f t="shared" si="3"/>
        <v>8078.5486080000001</v>
      </c>
      <c r="H19" s="31">
        <f t="shared" si="3"/>
        <v>2169.2399039999996</v>
      </c>
      <c r="I19" s="31">
        <f t="shared" si="3"/>
        <v>417915.28771199996</v>
      </c>
      <c r="J19" s="31">
        <f t="shared" si="3"/>
        <v>5423.0997600000001</v>
      </c>
      <c r="K19" s="31">
        <f t="shared" si="3"/>
        <v>0</v>
      </c>
      <c r="L19" s="31">
        <f t="shared" si="3"/>
        <v>35200</v>
      </c>
      <c r="M19" s="24"/>
    </row>
    <row r="20" spans="1:13" ht="14.25" customHeight="1">
      <c r="A20" s="32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4"/>
    </row>
    <row r="21" spans="1:13" ht="14.25" customHeight="1">
      <c r="A21" s="21" t="s">
        <v>232</v>
      </c>
      <c r="D21" s="33"/>
      <c r="E21" s="33" t="s">
        <v>69</v>
      </c>
      <c r="F21" s="33"/>
      <c r="G21" s="33"/>
      <c r="H21" s="33"/>
      <c r="I21" s="33"/>
      <c r="J21" s="33"/>
      <c r="K21" s="33"/>
      <c r="L21" s="33"/>
    </row>
    <row r="22" spans="1:13" ht="14.25" customHeight="1">
      <c r="A22" s="21" t="s">
        <v>233</v>
      </c>
      <c r="C22" s="33">
        <v>40000</v>
      </c>
      <c r="D22" s="33"/>
      <c r="E22" s="33"/>
      <c r="F22" s="33"/>
      <c r="G22" s="33"/>
      <c r="H22" s="33"/>
      <c r="I22" s="33"/>
      <c r="J22" s="33"/>
      <c r="K22" s="33"/>
      <c r="L22" s="33"/>
    </row>
    <row r="23" spans="1:13" ht="14.25" customHeight="1">
      <c r="A23" s="21" t="s">
        <v>234</v>
      </c>
      <c r="C23" s="33">
        <v>24900</v>
      </c>
      <c r="D23" s="33"/>
      <c r="E23" s="33"/>
      <c r="F23" s="33"/>
      <c r="G23" s="33"/>
      <c r="H23" s="33"/>
      <c r="I23" s="33"/>
      <c r="J23" s="33"/>
      <c r="K23" s="33"/>
      <c r="L23" s="33"/>
    </row>
    <row r="24" spans="1:13" ht="14.25" customHeight="1">
      <c r="A24" s="21" t="s">
        <v>72</v>
      </c>
      <c r="B24" s="21" t="s">
        <v>69</v>
      </c>
      <c r="C24" s="34">
        <f>(B19*10000)*0.014</f>
        <v>616</v>
      </c>
      <c r="D24" s="33"/>
      <c r="E24" s="33" t="s">
        <v>73</v>
      </c>
      <c r="F24" s="24">
        <v>100</v>
      </c>
      <c r="G24" s="95">
        <f>E19</f>
        <v>377606.88</v>
      </c>
      <c r="J24" s="33"/>
      <c r="K24" s="33" t="s">
        <v>74</v>
      </c>
      <c r="L24" s="21">
        <v>0.09</v>
      </c>
    </row>
    <row r="25" spans="1:13" ht="14.25" customHeight="1">
      <c r="A25" s="21" t="s">
        <v>75</v>
      </c>
      <c r="C25" s="34">
        <f>C19*0.0065</f>
        <v>2431.0447199999999</v>
      </c>
      <c r="E25" s="21" t="s">
        <v>76</v>
      </c>
      <c r="F25" s="21">
        <v>200</v>
      </c>
      <c r="G25" s="35">
        <f>F19+G19+H19+J19+K19+L19</f>
        <v>84531.507471999998</v>
      </c>
      <c r="K25" s="21" t="s">
        <v>77</v>
      </c>
      <c r="L25" s="21">
        <v>2.1600000000000001E-2</v>
      </c>
    </row>
    <row r="26" spans="1:13" ht="14.25" customHeight="1">
      <c r="A26" s="21" t="s">
        <v>78</v>
      </c>
      <c r="C26" s="36">
        <v>20000</v>
      </c>
      <c r="E26" s="21" t="s">
        <v>79</v>
      </c>
      <c r="F26" s="21">
        <v>300</v>
      </c>
      <c r="G26" s="35">
        <f>C28</f>
        <v>87947.044720000005</v>
      </c>
      <c r="K26" s="21" t="s">
        <v>80</v>
      </c>
      <c r="L26" s="21">
        <v>5.7999999999999996E-3</v>
      </c>
    </row>
    <row r="27" spans="1:13" ht="14.25" customHeight="1">
      <c r="A27" s="21" t="s">
        <v>69</v>
      </c>
      <c r="C27" s="45">
        <v>0</v>
      </c>
      <c r="E27" s="21" t="s">
        <v>82</v>
      </c>
      <c r="F27" s="21">
        <v>400</v>
      </c>
      <c r="G27" s="35">
        <f>C29</f>
        <v>8000</v>
      </c>
      <c r="K27" s="21" t="s">
        <v>83</v>
      </c>
      <c r="L27" s="21">
        <v>1.4500000000000001E-2</v>
      </c>
    </row>
    <row r="28" spans="1:13" ht="14.25" customHeight="1">
      <c r="A28" s="32" t="s">
        <v>84</v>
      </c>
      <c r="C28" s="35">
        <f>SUM(C22:C27)</f>
        <v>87947.044720000005</v>
      </c>
      <c r="E28" s="38" t="s">
        <v>85</v>
      </c>
      <c r="F28" s="38">
        <v>500</v>
      </c>
      <c r="G28" s="39">
        <f>C30</f>
        <v>6500</v>
      </c>
      <c r="K28" s="21" t="s">
        <v>86</v>
      </c>
      <c r="L28" s="21">
        <v>6.2E-2</v>
      </c>
    </row>
    <row r="29" spans="1:13" ht="14.25" customHeight="1">
      <c r="A29" s="32" t="s">
        <v>235</v>
      </c>
      <c r="C29" s="35">
        <v>8000</v>
      </c>
      <c r="K29" s="21" t="s">
        <v>88</v>
      </c>
      <c r="L29" s="47">
        <f>SSW!L31</f>
        <v>8000</v>
      </c>
    </row>
    <row r="30" spans="1:13" ht="14.25" customHeight="1">
      <c r="A30" s="32" t="s">
        <v>236</v>
      </c>
      <c r="C30" s="35">
        <v>6500</v>
      </c>
      <c r="E30" s="32" t="s">
        <v>90</v>
      </c>
      <c r="F30" s="32"/>
      <c r="G30" s="40">
        <f>SUM(G24:G29)</f>
        <v>564585.43219199998</v>
      </c>
      <c r="K30" s="21" t="s">
        <v>91</v>
      </c>
      <c r="L30" s="21">
        <v>6.4999999999999997E-3</v>
      </c>
    </row>
    <row r="31" spans="1:13" ht="14.25" customHeight="1">
      <c r="K31" s="21" t="s">
        <v>92</v>
      </c>
      <c r="L31" s="21">
        <v>1.4E-2</v>
      </c>
    </row>
    <row r="32" spans="1:13" ht="14.25" customHeight="1"/>
    <row r="33" spans="13:25" ht="14.25" customHeight="1"/>
    <row r="34" spans="13:25" ht="14.25" customHeight="1">
      <c r="M34" s="161" t="s">
        <v>237</v>
      </c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52"/>
    </row>
    <row r="35" spans="13:25" ht="14.25" customHeight="1">
      <c r="M35" s="161" t="s">
        <v>238</v>
      </c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52"/>
    </row>
    <row r="36" spans="13:25" ht="14.25" customHeight="1"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3:25" ht="14.25" customHeight="1">
      <c r="M37" s="96" t="s">
        <v>239</v>
      </c>
      <c r="N37" s="97">
        <v>2.7</v>
      </c>
      <c r="O37" s="98">
        <f>M14</f>
        <v>252791.92326880002</v>
      </c>
      <c r="P37" s="99"/>
      <c r="Q37" s="52"/>
      <c r="R37" s="100" t="s">
        <v>240</v>
      </c>
      <c r="S37" s="52"/>
      <c r="T37" s="52"/>
      <c r="U37" s="101" t="s">
        <v>241</v>
      </c>
      <c r="V37" s="102">
        <f>O37/N37</f>
        <v>93626.638247703711</v>
      </c>
      <c r="W37" s="52"/>
      <c r="X37" s="52"/>
      <c r="Y37" s="52"/>
    </row>
    <row r="38" spans="13:25" ht="14.25" customHeight="1">
      <c r="M38" s="103"/>
      <c r="N38" s="103"/>
      <c r="O38" s="103"/>
      <c r="P38" s="103"/>
      <c r="Q38" s="104"/>
      <c r="R38" s="105"/>
      <c r="S38" s="104"/>
      <c r="T38" s="104"/>
      <c r="U38" s="104"/>
      <c r="V38" s="104"/>
      <c r="W38" s="104"/>
      <c r="X38" s="104"/>
      <c r="Y38" s="52"/>
    </row>
    <row r="39" spans="13:25" ht="14.25" customHeight="1">
      <c r="M39" s="62"/>
      <c r="N39" s="62"/>
      <c r="O39" s="62"/>
      <c r="P39" s="62"/>
      <c r="Q39" s="52"/>
      <c r="R39" s="106" t="s">
        <v>242</v>
      </c>
      <c r="S39" s="52"/>
      <c r="T39" s="52"/>
      <c r="U39" s="55" t="s">
        <v>154</v>
      </c>
      <c r="V39" s="82"/>
      <c r="W39" s="55" t="s">
        <v>150</v>
      </c>
      <c r="X39" s="55" t="s">
        <v>150</v>
      </c>
      <c r="Y39" s="52"/>
    </row>
    <row r="40" spans="13:25" ht="14.25" customHeight="1">
      <c r="M40" s="52"/>
      <c r="N40" s="52"/>
      <c r="O40" s="122" t="s">
        <v>280</v>
      </c>
      <c r="P40" s="55"/>
      <c r="Q40" s="52"/>
      <c r="R40" s="55" t="s">
        <v>153</v>
      </c>
      <c r="S40" s="52"/>
      <c r="T40" s="52"/>
      <c r="U40" s="55" t="s">
        <v>243</v>
      </c>
      <c r="V40" s="52"/>
      <c r="W40" s="55" t="s">
        <v>244</v>
      </c>
      <c r="X40" s="55" t="s">
        <v>245</v>
      </c>
      <c r="Y40" s="52"/>
    </row>
    <row r="41" spans="13:25" ht="14.25" customHeight="1">
      <c r="M41" s="103" t="s">
        <v>246</v>
      </c>
      <c r="N41" s="103"/>
      <c r="O41" s="107" t="s">
        <v>247</v>
      </c>
      <c r="P41" s="107"/>
      <c r="Q41" s="107" t="s">
        <v>248</v>
      </c>
      <c r="R41" s="107" t="s">
        <v>249</v>
      </c>
      <c r="S41" s="107"/>
      <c r="T41" s="107"/>
      <c r="U41" s="107" t="s">
        <v>250</v>
      </c>
      <c r="V41" s="104"/>
      <c r="W41" s="103" t="s">
        <v>251</v>
      </c>
      <c r="X41" s="103" t="s">
        <v>251</v>
      </c>
      <c r="Y41" s="52"/>
    </row>
    <row r="42" spans="13:25" ht="14.25" customHeight="1">
      <c r="M42" s="52" t="s">
        <v>252</v>
      </c>
      <c r="N42" s="52"/>
      <c r="O42" s="108">
        <v>5</v>
      </c>
      <c r="P42" s="108"/>
      <c r="Q42" s="54">
        <v>1</v>
      </c>
      <c r="R42" s="78">
        <v>10000</v>
      </c>
      <c r="S42" s="55"/>
      <c r="T42" s="109"/>
      <c r="U42" s="110">
        <f>((V37/5)*O42)-R42</f>
        <v>83626.638247703697</v>
      </c>
      <c r="V42" s="111"/>
      <c r="W42" s="49">
        <f t="shared" ref="W42:W51" si="4">U42/2</f>
        <v>41813.319123851848</v>
      </c>
      <c r="X42" s="49">
        <f t="shared" ref="X42:X51" si="5">U42/2</f>
        <v>41813.319123851848</v>
      </c>
      <c r="Y42" s="52"/>
    </row>
    <row r="43" spans="13:25" ht="14.25" customHeight="1">
      <c r="M43" s="133" t="s">
        <v>253</v>
      </c>
      <c r="N43" s="134"/>
      <c r="O43" s="135">
        <v>5</v>
      </c>
      <c r="P43" s="135"/>
      <c r="Q43" s="135">
        <v>1</v>
      </c>
      <c r="R43" s="136">
        <v>10000</v>
      </c>
      <c r="S43" s="137"/>
      <c r="T43" s="138"/>
      <c r="U43" s="139">
        <f>106134-10000</f>
        <v>96134</v>
      </c>
      <c r="V43" s="140"/>
      <c r="W43" s="141">
        <f t="shared" si="4"/>
        <v>48067</v>
      </c>
      <c r="X43" s="141">
        <f t="shared" si="5"/>
        <v>48067</v>
      </c>
      <c r="Y43" s="52"/>
    </row>
    <row r="44" spans="13:25" ht="14.25" customHeight="1">
      <c r="M44" s="133" t="s">
        <v>254</v>
      </c>
      <c r="N44" s="134"/>
      <c r="O44" s="135">
        <v>2</v>
      </c>
      <c r="P44" s="142"/>
      <c r="Q44" s="142">
        <v>0.4</v>
      </c>
      <c r="R44" s="143">
        <f t="shared" ref="R44:R50" si="6">(10000/5)*O44</f>
        <v>4000</v>
      </c>
      <c r="S44" s="137"/>
      <c r="T44" s="138"/>
      <c r="U44" s="139">
        <v>40000</v>
      </c>
      <c r="V44" s="140"/>
      <c r="W44" s="141">
        <f t="shared" si="4"/>
        <v>20000</v>
      </c>
      <c r="X44" s="141">
        <f t="shared" si="5"/>
        <v>20000</v>
      </c>
      <c r="Y44" s="52"/>
    </row>
    <row r="45" spans="13:25" ht="14.25" customHeight="1">
      <c r="M45" s="52" t="s">
        <v>166</v>
      </c>
      <c r="N45" s="62"/>
      <c r="O45" s="108">
        <v>1</v>
      </c>
      <c r="P45" s="108"/>
      <c r="Q45" s="54">
        <v>0.2</v>
      </c>
      <c r="R45" s="82">
        <f t="shared" si="6"/>
        <v>2000</v>
      </c>
      <c r="S45" s="55"/>
      <c r="T45" s="109"/>
      <c r="U45" s="110">
        <f>((V37/5)*O45)-R45</f>
        <v>16725.327649540741</v>
      </c>
      <c r="V45" s="111"/>
      <c r="W45" s="49">
        <f t="shared" si="4"/>
        <v>8362.6638247703704</v>
      </c>
      <c r="X45" s="49">
        <f t="shared" si="5"/>
        <v>8362.6638247703704</v>
      </c>
      <c r="Y45" s="52"/>
    </row>
    <row r="46" spans="13:25" ht="14.25" customHeight="1">
      <c r="M46" s="52" t="s">
        <v>255</v>
      </c>
      <c r="N46" s="62"/>
      <c r="O46" s="108">
        <v>2</v>
      </c>
      <c r="P46" s="108"/>
      <c r="Q46" s="54">
        <v>0.4</v>
      </c>
      <c r="R46" s="82">
        <f t="shared" si="6"/>
        <v>4000</v>
      </c>
      <c r="S46" s="55"/>
      <c r="T46" s="109"/>
      <c r="U46" s="110">
        <f>((V37/5)*O46)-R46</f>
        <v>33450.655299081482</v>
      </c>
      <c r="V46" s="111"/>
      <c r="W46" s="49">
        <f t="shared" si="4"/>
        <v>16725.327649540741</v>
      </c>
      <c r="X46" s="49">
        <f t="shared" si="5"/>
        <v>16725.327649540741</v>
      </c>
      <c r="Y46" s="52"/>
    </row>
    <row r="47" spans="13:25" ht="14.25" customHeight="1">
      <c r="M47" s="52" t="s">
        <v>256</v>
      </c>
      <c r="N47" s="62"/>
      <c r="O47" s="54">
        <v>0.5</v>
      </c>
      <c r="P47" s="54"/>
      <c r="Q47" s="54">
        <v>0.1</v>
      </c>
      <c r="R47" s="82">
        <f t="shared" si="6"/>
        <v>1000</v>
      </c>
      <c r="S47" s="55"/>
      <c r="T47" s="109"/>
      <c r="U47" s="110">
        <f>((V37/5)*O47)-R47</f>
        <v>8362.6638247703704</v>
      </c>
      <c r="V47" s="111"/>
      <c r="W47" s="49">
        <f t="shared" si="4"/>
        <v>4181.3319123851852</v>
      </c>
      <c r="X47" s="49">
        <f t="shared" si="5"/>
        <v>4181.3319123851852</v>
      </c>
      <c r="Y47" s="52"/>
    </row>
    <row r="48" spans="13:25" ht="14.25" customHeight="1">
      <c r="M48" s="52"/>
      <c r="N48" s="52"/>
      <c r="O48" s="54"/>
      <c r="P48" s="54"/>
      <c r="Q48" s="54"/>
      <c r="R48" s="82">
        <f t="shared" si="6"/>
        <v>0</v>
      </c>
      <c r="S48" s="52"/>
      <c r="T48" s="52"/>
      <c r="U48" s="2"/>
      <c r="V48" s="111"/>
      <c r="W48" s="49">
        <f t="shared" si="4"/>
        <v>0</v>
      </c>
      <c r="X48" s="49">
        <f t="shared" si="5"/>
        <v>0</v>
      </c>
      <c r="Y48" s="52"/>
    </row>
    <row r="49" spans="13:25" ht="14.25" customHeight="1">
      <c r="M49" s="52" t="s">
        <v>257</v>
      </c>
      <c r="N49" s="52"/>
      <c r="O49" s="108">
        <v>3</v>
      </c>
      <c r="P49" s="108"/>
      <c r="Q49" s="54">
        <v>0.6</v>
      </c>
      <c r="R49" s="82">
        <f t="shared" si="6"/>
        <v>6000</v>
      </c>
      <c r="S49" s="52"/>
      <c r="T49" s="109"/>
      <c r="U49" s="49">
        <f>((V37/5)*O49)-R49</f>
        <v>50175.982948622222</v>
      </c>
      <c r="V49" s="111"/>
      <c r="W49" s="49">
        <f t="shared" si="4"/>
        <v>25087.991474311111</v>
      </c>
      <c r="X49" s="49">
        <f t="shared" si="5"/>
        <v>25087.991474311111</v>
      </c>
      <c r="Y49" s="52"/>
    </row>
    <row r="50" spans="13:25" ht="14.25" customHeight="1">
      <c r="M50" s="52" t="s">
        <v>258</v>
      </c>
      <c r="N50" s="52"/>
      <c r="O50" s="112">
        <v>0.5</v>
      </c>
      <c r="P50" s="108"/>
      <c r="Q50" s="54">
        <v>0.1</v>
      </c>
      <c r="R50" s="82">
        <f t="shared" si="6"/>
        <v>1000</v>
      </c>
      <c r="S50" s="55"/>
      <c r="T50" s="109"/>
      <c r="U50" s="110">
        <f>((V37/5)*O50)-R50</f>
        <v>8362.6638247703704</v>
      </c>
      <c r="V50" s="111"/>
      <c r="W50" s="49">
        <f t="shared" si="4"/>
        <v>4181.3319123851852</v>
      </c>
      <c r="X50" s="49">
        <f t="shared" si="5"/>
        <v>4181.3319123851852</v>
      </c>
      <c r="Y50" s="52"/>
    </row>
    <row r="51" spans="13:25" ht="14.25" customHeight="1">
      <c r="M51" s="104" t="s">
        <v>259</v>
      </c>
      <c r="N51" s="104"/>
      <c r="O51" s="113">
        <v>0</v>
      </c>
      <c r="P51" s="113"/>
      <c r="Q51" s="114">
        <v>0.3</v>
      </c>
      <c r="R51" s="82">
        <v>0</v>
      </c>
      <c r="S51" s="104"/>
      <c r="T51" s="115"/>
      <c r="U51" s="88">
        <f>((V37/5)*O51)-R51</f>
        <v>0</v>
      </c>
      <c r="V51" s="111"/>
      <c r="W51" s="49">
        <f t="shared" si="4"/>
        <v>0</v>
      </c>
      <c r="X51" s="49">
        <f t="shared" si="5"/>
        <v>0</v>
      </c>
      <c r="Y51" s="52"/>
    </row>
    <row r="52" spans="13:25" ht="14.25" customHeight="1">
      <c r="M52" s="52"/>
      <c r="N52" s="52"/>
      <c r="O52" s="116">
        <f>SUM(O42:O51)-O43-O44</f>
        <v>12</v>
      </c>
      <c r="P52" s="62"/>
      <c r="Q52" s="62">
        <f>SUM(Q42:Q51)</f>
        <v>4.1000000000000005</v>
      </c>
      <c r="R52" s="100"/>
      <c r="S52" s="62"/>
      <c r="T52" s="62"/>
      <c r="U52" s="117"/>
      <c r="V52" s="118"/>
      <c r="W52" s="49">
        <f>SUM(W42:W51)</f>
        <v>168418.96589724443</v>
      </c>
      <c r="X52" s="49">
        <f>SUM(X42:X51)</f>
        <v>168418.96589724443</v>
      </c>
      <c r="Y52" s="62"/>
    </row>
    <row r="53" spans="13:25" ht="14.25" customHeight="1">
      <c r="M53" s="52"/>
      <c r="N53" s="52"/>
      <c r="O53" s="52"/>
      <c r="P53" s="52"/>
      <c r="Q53" s="52"/>
      <c r="R53" s="82"/>
      <c r="S53" s="52"/>
      <c r="T53" s="52"/>
      <c r="U53" s="119"/>
      <c r="V53" s="111"/>
      <c r="W53" s="111"/>
      <c r="X53" s="111"/>
      <c r="Y53" s="52"/>
    </row>
    <row r="54" spans="13:25" ht="18" customHeight="1">
      <c r="M54" s="52" t="s">
        <v>260</v>
      </c>
      <c r="N54" s="52"/>
      <c r="O54" s="52"/>
      <c r="P54" s="52"/>
      <c r="Q54" s="52"/>
      <c r="R54" s="78">
        <f>SUM(R42:R53)-R43-R44</f>
        <v>24000</v>
      </c>
      <c r="S54" s="52"/>
      <c r="T54" s="52"/>
      <c r="U54" s="120">
        <f>SUM(U42:U53)-U43-U44</f>
        <v>200703.93179448886</v>
      </c>
      <c r="V54" s="111"/>
      <c r="W54" s="111"/>
      <c r="X54" s="111"/>
      <c r="Y54" s="52"/>
    </row>
    <row r="55" spans="13:25" ht="14.25" customHeight="1">
      <c r="M55" s="62" t="s">
        <v>261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3:25" ht="14.25" customHeight="1"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</row>
    <row r="57" spans="13:25" ht="14.25" customHeight="1"/>
    <row r="58" spans="13:25" ht="14.25" customHeight="1"/>
    <row r="59" spans="13:25" ht="14.25" customHeight="1"/>
    <row r="60" spans="13:25" ht="14.25" customHeight="1"/>
    <row r="61" spans="13:25" ht="14.25" customHeight="1"/>
    <row r="62" spans="13:25" ht="14.25" customHeight="1"/>
    <row r="63" spans="13:25" ht="14.25" customHeight="1"/>
    <row r="64" spans="13:2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M34:X34"/>
    <mergeCell ref="M35:X3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Cumulative</vt:lpstr>
      <vt:lpstr>SSW</vt:lpstr>
      <vt:lpstr>OTPT</vt:lpstr>
      <vt:lpstr>psych</vt:lpstr>
      <vt:lpstr>slp</vt:lpstr>
      <vt:lpstr>prof dev</vt:lpstr>
      <vt:lpstr>exec</vt:lpstr>
      <vt:lpstr>O &amp; M</vt:lpstr>
      <vt:lpstr>TAS</vt:lpstr>
      <vt:lpstr>admin asst</vt:lpstr>
      <vt:lpstr>Other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hogans</dc:creator>
  <cp:lastModifiedBy>Judy Quinton</cp:lastModifiedBy>
  <cp:lastPrinted>2021-07-29T12:52:02Z</cp:lastPrinted>
  <dcterms:created xsi:type="dcterms:W3CDTF">2006-09-16T00:00:00Z</dcterms:created>
  <dcterms:modified xsi:type="dcterms:W3CDTF">2024-04-16T16:12:26Z</dcterms:modified>
</cp:coreProperties>
</file>